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27795" windowHeight="12075"/>
  </bookViews>
  <sheets>
    <sheet name="8" sheetId="1" r:id="rId1"/>
  </sheets>
  <definedNames>
    <definedName name="Z_D1679B90_A286_4615_9902_D772CF787D77_.wvu.Cols" localSheetId="0" hidden="1">'8'!#REF!</definedName>
    <definedName name="Z_D1679B90_A286_4615_9902_D772CF787D77_.wvu.PrintArea" localSheetId="0" hidden="1">'8'!$A$1:$BB$174</definedName>
    <definedName name="Z_D1679B90_A286_4615_9902_D772CF787D77_.wvu.PrintTitles" localSheetId="0" hidden="1">'8'!$A:$A,'8'!$14:$15</definedName>
    <definedName name="Z_DDCD9529_845B_4B90_9D12_B0FFC2B24D2A_.wvu.PrintArea" localSheetId="0" hidden="1">'8'!$A$1:$BB$174</definedName>
    <definedName name="Z_DDCD9529_845B_4B90_9D12_B0FFC2B24D2A_.wvu.PrintTitles" localSheetId="0" hidden="1">'8'!$A:$A,'8'!$14:$15</definedName>
    <definedName name="_xlnm.Print_Titles" localSheetId="0">'8'!$A:$A,'8'!$14:$15</definedName>
    <definedName name="_xlnm.Print_Area" localSheetId="0">'8'!$A$1:$Q$174</definedName>
  </definedNames>
  <calcPr calcId="144525"/>
</workbook>
</file>

<file path=xl/calcChain.xml><?xml version="1.0" encoding="utf-8"?>
<calcChain xmlns="http://schemas.openxmlformats.org/spreadsheetml/2006/main">
  <c r="K173" i="1" l="1"/>
  <c r="K172" i="1"/>
  <c r="P171" i="1"/>
  <c r="K170" i="1"/>
  <c r="P169" i="1"/>
  <c r="P166" i="1"/>
  <c r="E165" i="1"/>
  <c r="K165" i="1" s="1"/>
  <c r="P165" i="1" s="1"/>
  <c r="AI132" i="1" s="1"/>
  <c r="AI130" i="1" s="1"/>
  <c r="E163" i="1"/>
  <c r="K163" i="1" s="1"/>
  <c r="P163" i="1" s="1"/>
  <c r="E161" i="1"/>
  <c r="K161" i="1" s="1"/>
  <c r="P161" i="1" s="1"/>
  <c r="AI143" i="1" s="1"/>
  <c r="AY143" i="1" s="1"/>
  <c r="AX143" i="1" s="1"/>
  <c r="AX153" i="1"/>
  <c r="AI153" i="1"/>
  <c r="P153" i="1"/>
  <c r="AX152" i="1"/>
  <c r="AL152" i="1" s="1"/>
  <c r="AJ152" i="1" s="1"/>
  <c r="AI152" i="1"/>
  <c r="BB152" i="1" s="1"/>
  <c r="K152" i="1"/>
  <c r="P152" i="1" s="1"/>
  <c r="E152" i="1"/>
  <c r="BB151" i="1"/>
  <c r="AX151" i="1"/>
  <c r="BB150" i="1"/>
  <c r="AX150" i="1"/>
  <c r="AX149" i="1"/>
  <c r="AI149" i="1"/>
  <c r="BB149" i="1" s="1"/>
  <c r="BC148" i="1"/>
  <c r="BA148" i="1"/>
  <c r="AZ148" i="1"/>
  <c r="AY148" i="1"/>
  <c r="AW148" i="1"/>
  <c r="AU148" i="1"/>
  <c r="AT148" i="1"/>
  <c r="AS148" i="1"/>
  <c r="AP148" i="1"/>
  <c r="AO148" i="1"/>
  <c r="AN148" i="1"/>
  <c r="AK148" i="1"/>
  <c r="AY147" i="1"/>
  <c r="AX147" i="1" s="1"/>
  <c r="BC146" i="1"/>
  <c r="BA146" i="1"/>
  <c r="AZ146" i="1"/>
  <c r="AW146" i="1"/>
  <c r="AU146" i="1"/>
  <c r="AT146" i="1"/>
  <c r="AS146" i="1"/>
  <c r="AP146" i="1"/>
  <c r="AO146" i="1"/>
  <c r="AN146" i="1"/>
  <c r="AK146" i="1"/>
  <c r="P146" i="1"/>
  <c r="BB145" i="1"/>
  <c r="AY145" i="1"/>
  <c r="AX145" i="1" s="1"/>
  <c r="AI145" i="1"/>
  <c r="E145" i="1"/>
  <c r="K145" i="1" s="1"/>
  <c r="P145" i="1" s="1"/>
  <c r="BB144" i="1"/>
  <c r="AY144" i="1"/>
  <c r="AX144" i="1" s="1"/>
  <c r="AY142" i="1"/>
  <c r="AX142" i="1"/>
  <c r="K142" i="1"/>
  <c r="P142" i="1" s="1"/>
  <c r="E142" i="1"/>
  <c r="AI141" i="1"/>
  <c r="AY141" i="1" s="1"/>
  <c r="AX141" i="1" s="1"/>
  <c r="BB140" i="1"/>
  <c r="AY140" i="1"/>
  <c r="AX140" i="1" s="1"/>
  <c r="K140" i="1"/>
  <c r="AY139" i="1"/>
  <c r="AX139" i="1" s="1"/>
  <c r="BC138" i="1"/>
  <c r="BA138" i="1"/>
  <c r="AZ138" i="1"/>
  <c r="AW138" i="1"/>
  <c r="AU138" i="1"/>
  <c r="AT138" i="1"/>
  <c r="AS138" i="1"/>
  <c r="AP138" i="1"/>
  <c r="AO138" i="1"/>
  <c r="AN138" i="1"/>
  <c r="AK138" i="1"/>
  <c r="AY137" i="1"/>
  <c r="AX137" i="1" s="1"/>
  <c r="BC136" i="1"/>
  <c r="BA136" i="1"/>
  <c r="AZ136" i="1"/>
  <c r="AW136" i="1"/>
  <c r="AU136" i="1"/>
  <c r="AT136" i="1"/>
  <c r="AS136" i="1"/>
  <c r="AP136" i="1"/>
  <c r="AO136" i="1"/>
  <c r="AN136" i="1"/>
  <c r="AK136" i="1"/>
  <c r="BB134" i="1"/>
  <c r="AY134" i="1"/>
  <c r="AX134" i="1" s="1"/>
  <c r="AL134" i="1" s="1"/>
  <c r="AJ134" i="1" s="1"/>
  <c r="BB131" i="1"/>
  <c r="BC130" i="1"/>
  <c r="BA130" i="1"/>
  <c r="AZ130" i="1"/>
  <c r="AW130" i="1"/>
  <c r="AU130" i="1"/>
  <c r="AT130" i="1"/>
  <c r="AS130" i="1"/>
  <c r="AP130" i="1"/>
  <c r="AO130" i="1"/>
  <c r="AN130" i="1"/>
  <c r="AK130" i="1"/>
  <c r="I129" i="1"/>
  <c r="BC128" i="1"/>
  <c r="BA128" i="1"/>
  <c r="AZ128" i="1"/>
  <c r="AW128" i="1"/>
  <c r="AU128" i="1"/>
  <c r="AT128" i="1"/>
  <c r="AS128" i="1"/>
  <c r="AP128" i="1"/>
  <c r="AO128" i="1"/>
  <c r="AN128" i="1"/>
  <c r="AK128" i="1"/>
  <c r="P128" i="1"/>
  <c r="AY126" i="1"/>
  <c r="BB125" i="1"/>
  <c r="AL125" i="1" s="1"/>
  <c r="AJ125" i="1" s="1"/>
  <c r="AI125" i="1"/>
  <c r="AY125" i="1" s="1"/>
  <c r="AX125" i="1" s="1"/>
  <c r="P125" i="1"/>
  <c r="BC124" i="1"/>
  <c r="BA124" i="1"/>
  <c r="AZ124" i="1"/>
  <c r="AW124" i="1"/>
  <c r="AU124" i="1"/>
  <c r="AT124" i="1"/>
  <c r="AS124" i="1"/>
  <c r="AP124" i="1"/>
  <c r="AO124" i="1"/>
  <c r="AN124" i="1"/>
  <c r="AK124" i="1"/>
  <c r="K124" i="1"/>
  <c r="AY123" i="1"/>
  <c r="AX123" i="1" s="1"/>
  <c r="AY122" i="1"/>
  <c r="AX122" i="1" s="1"/>
  <c r="K122" i="1"/>
  <c r="P122" i="1" s="1"/>
  <c r="E122" i="1"/>
  <c r="AY121" i="1"/>
  <c r="K121" i="1"/>
  <c r="P121" i="1" s="1"/>
  <c r="P119" i="1" s="1"/>
  <c r="AI115" i="1" s="1"/>
  <c r="BC120" i="1"/>
  <c r="BA120" i="1"/>
  <c r="AZ120" i="1"/>
  <c r="AW120" i="1"/>
  <c r="AU120" i="1"/>
  <c r="AT120" i="1"/>
  <c r="AS120" i="1"/>
  <c r="AP120" i="1"/>
  <c r="AO120" i="1"/>
  <c r="AN120" i="1"/>
  <c r="AK120" i="1"/>
  <c r="AX119" i="1"/>
  <c r="AL119" i="1" s="1"/>
  <c r="AJ119" i="1" s="1"/>
  <c r="AI119" i="1"/>
  <c r="AI118" i="1"/>
  <c r="AY118" i="1" s="1"/>
  <c r="BC117" i="1"/>
  <c r="BA117" i="1"/>
  <c r="AZ117" i="1"/>
  <c r="AZ68" i="1" s="1"/>
  <c r="AW117" i="1"/>
  <c r="AU117" i="1"/>
  <c r="AT117" i="1"/>
  <c r="AS117" i="1"/>
  <c r="AS68" i="1" s="1"/>
  <c r="AP117" i="1"/>
  <c r="AO117" i="1"/>
  <c r="AN117" i="1"/>
  <c r="AK117" i="1"/>
  <c r="AI117" i="1"/>
  <c r="K117" i="1"/>
  <c r="P117" i="1" s="1"/>
  <c r="AY116" i="1"/>
  <c r="AX116" i="1" s="1"/>
  <c r="AY114" i="1"/>
  <c r="AX114" i="1" s="1"/>
  <c r="AY113" i="1"/>
  <c r="AX113" i="1" s="1"/>
  <c r="BB111" i="1"/>
  <c r="AL111" i="1" s="1"/>
  <c r="AJ111" i="1" s="1"/>
  <c r="AY111" i="1"/>
  <c r="AX111" i="1" s="1"/>
  <c r="AY110" i="1"/>
  <c r="AX110" i="1" s="1"/>
  <c r="K110" i="1"/>
  <c r="P110" i="1" s="1"/>
  <c r="BB109" i="1"/>
  <c r="AL109" i="1" s="1"/>
  <c r="AJ109" i="1" s="1"/>
  <c r="AY109" i="1"/>
  <c r="AX109" i="1" s="1"/>
  <c r="K109" i="1"/>
  <c r="P109" i="1" s="1"/>
  <c r="AY108" i="1"/>
  <c r="AX108" i="1" s="1"/>
  <c r="P108" i="1"/>
  <c r="K108" i="1"/>
  <c r="AY107" i="1"/>
  <c r="AX107" i="1" s="1"/>
  <c r="K107" i="1"/>
  <c r="P107" i="1" s="1"/>
  <c r="AY106" i="1"/>
  <c r="AX106" i="1" s="1"/>
  <c r="K106" i="1"/>
  <c r="P106" i="1" s="1"/>
  <c r="AY105" i="1"/>
  <c r="AX105" i="1" s="1"/>
  <c r="BB105" i="1" s="1"/>
  <c r="K105" i="1"/>
  <c r="P105" i="1" s="1"/>
  <c r="K104" i="1"/>
  <c r="P104" i="1" s="1"/>
  <c r="AX103" i="1"/>
  <c r="AV103" i="1"/>
  <c r="AU103" i="1"/>
  <c r="AL103" i="1" s="1"/>
  <c r="AY102" i="1"/>
  <c r="AX102" i="1" s="1"/>
  <c r="BC100" i="1"/>
  <c r="BA100" i="1"/>
  <c r="AZ100" i="1"/>
  <c r="AW100" i="1"/>
  <c r="AT100" i="1"/>
  <c r="AS100" i="1"/>
  <c r="AP100" i="1"/>
  <c r="AO100" i="1"/>
  <c r="AN100" i="1"/>
  <c r="AK100" i="1"/>
  <c r="AY99" i="1"/>
  <c r="AX99" i="1" s="1"/>
  <c r="K99" i="1"/>
  <c r="P99" i="1" s="1"/>
  <c r="E99" i="1"/>
  <c r="AY97" i="1"/>
  <c r="AX97" i="1"/>
  <c r="BB97" i="1" s="1"/>
  <c r="AL97" i="1" s="1"/>
  <c r="AJ97" i="1" s="1"/>
  <c r="I97" i="1"/>
  <c r="AY95" i="1"/>
  <c r="AX95" i="1" s="1"/>
  <c r="K95" i="1"/>
  <c r="P95" i="1" s="1"/>
  <c r="P94" i="1" s="1"/>
  <c r="AI98" i="1" s="1"/>
  <c r="AY93" i="1"/>
  <c r="AX93" i="1" s="1"/>
  <c r="BB93" i="1" s="1"/>
  <c r="AL93" i="1" s="1"/>
  <c r="AJ93" i="1" s="1"/>
  <c r="P93" i="1"/>
  <c r="BB91" i="1"/>
  <c r="AZ91" i="1"/>
  <c r="AX91" i="1"/>
  <c r="AL91" i="1"/>
  <c r="AJ91" i="1" s="1"/>
  <c r="AZ90" i="1"/>
  <c r="AX90" i="1"/>
  <c r="BB90" i="1" s="1"/>
  <c r="AZ89" i="1"/>
  <c r="AX89" i="1"/>
  <c r="BB88" i="1"/>
  <c r="AZ88" i="1"/>
  <c r="AX88" i="1"/>
  <c r="AL88" i="1"/>
  <c r="AJ88" i="1" s="1"/>
  <c r="I88" i="1"/>
  <c r="P87" i="1"/>
  <c r="K86" i="1"/>
  <c r="BB85" i="1"/>
  <c r="AY85" i="1"/>
  <c r="AX85" i="1" s="1"/>
  <c r="AL85" i="1"/>
  <c r="AJ85" i="1" s="1"/>
  <c r="P85" i="1"/>
  <c r="K85" i="1"/>
  <c r="AY84" i="1"/>
  <c r="AX84" i="1" s="1"/>
  <c r="K84" i="1"/>
  <c r="P84" i="1" s="1"/>
  <c r="P82" i="1" s="1"/>
  <c r="AI94" i="1" s="1"/>
  <c r="K83" i="1"/>
  <c r="BC81" i="1"/>
  <c r="BA81" i="1"/>
  <c r="AZ81" i="1"/>
  <c r="AW81" i="1"/>
  <c r="AU81" i="1"/>
  <c r="AT81" i="1"/>
  <c r="AS81" i="1"/>
  <c r="AP81" i="1"/>
  <c r="AO81" i="1"/>
  <c r="AN81" i="1"/>
  <c r="AK81" i="1"/>
  <c r="P81" i="1"/>
  <c r="AY80" i="1"/>
  <c r="AX80" i="1" s="1"/>
  <c r="BB80" i="1" s="1"/>
  <c r="K80" i="1"/>
  <c r="P80" i="1" s="1"/>
  <c r="AY78" i="1"/>
  <c r="AX78" i="1"/>
  <c r="K78" i="1"/>
  <c r="P78" i="1" s="1"/>
  <c r="AY77" i="1"/>
  <c r="E77" i="1"/>
  <c r="K77" i="1" s="1"/>
  <c r="P77" i="1" s="1"/>
  <c r="P73" i="1" s="1"/>
  <c r="AI92" i="1" s="1"/>
  <c r="AY75" i="1"/>
  <c r="AX75" i="1" s="1"/>
  <c r="BB75" i="1" s="1"/>
  <c r="P75" i="1"/>
  <c r="BC74" i="1"/>
  <c r="BA74" i="1"/>
  <c r="AZ74" i="1"/>
  <c r="AW74" i="1"/>
  <c r="AU74" i="1"/>
  <c r="AT74" i="1"/>
  <c r="AS74" i="1"/>
  <c r="AP74" i="1"/>
  <c r="AO74" i="1"/>
  <c r="AN74" i="1"/>
  <c r="AK74" i="1"/>
  <c r="I74" i="1"/>
  <c r="P74" i="1" s="1"/>
  <c r="AY73" i="1"/>
  <c r="AX73" i="1" s="1"/>
  <c r="BB73" i="1" s="1"/>
  <c r="AI72" i="1"/>
  <c r="AY71" i="1"/>
  <c r="AX71" i="1" s="1"/>
  <c r="BB71" i="1" s="1"/>
  <c r="AI70" i="1"/>
  <c r="AY70" i="1" s="1"/>
  <c r="BC69" i="1"/>
  <c r="BA69" i="1"/>
  <c r="AZ69" i="1"/>
  <c r="AW69" i="1"/>
  <c r="AU69" i="1"/>
  <c r="AT69" i="1"/>
  <c r="AS69" i="1"/>
  <c r="AP69" i="1"/>
  <c r="AO69" i="1"/>
  <c r="AN69" i="1"/>
  <c r="AK69" i="1"/>
  <c r="K69" i="1"/>
  <c r="P69" i="1" s="1"/>
  <c r="AI87" i="1" s="1"/>
  <c r="AY87" i="1" s="1"/>
  <c r="AX87" i="1" s="1"/>
  <c r="E69" i="1"/>
  <c r="AY67" i="1"/>
  <c r="AX67" i="1" s="1"/>
  <c r="BB67" i="1" s="1"/>
  <c r="AI66" i="1"/>
  <c r="AY66" i="1" s="1"/>
  <c r="AX66" i="1" s="1"/>
  <c r="AY65" i="1"/>
  <c r="AX65" i="1" s="1"/>
  <c r="BB63" i="1"/>
  <c r="AI63" i="1"/>
  <c r="AY63" i="1" s="1"/>
  <c r="AX63" i="1" s="1"/>
  <c r="E63" i="1"/>
  <c r="O63" i="1" s="1"/>
  <c r="P63" i="1" s="1"/>
  <c r="E62" i="1"/>
  <c r="O62" i="1" s="1"/>
  <c r="P62" i="1" s="1"/>
  <c r="P61" i="1" s="1"/>
  <c r="AI82" i="1" s="1"/>
  <c r="C61" i="1"/>
  <c r="BC60" i="1"/>
  <c r="AW60" i="1"/>
  <c r="AU60" i="1"/>
  <c r="AT60" i="1"/>
  <c r="AS60" i="1"/>
  <c r="AP60" i="1"/>
  <c r="AO60" i="1"/>
  <c r="AN60" i="1"/>
  <c r="AK60" i="1"/>
  <c r="BA59" i="1"/>
  <c r="AZ59" i="1"/>
  <c r="AI59" i="1"/>
  <c r="K59" i="1"/>
  <c r="P59" i="1" s="1"/>
  <c r="BA58" i="1"/>
  <c r="AZ58" i="1"/>
  <c r="AI58" i="1"/>
  <c r="AI56" i="1" s="1"/>
  <c r="AI49" i="1" s="1"/>
  <c r="P58" i="1"/>
  <c r="AZ57" i="1"/>
  <c r="AZ56" i="1" s="1"/>
  <c r="AZ49" i="1" s="1"/>
  <c r="AZ48" i="1" s="1"/>
  <c r="AI57" i="1"/>
  <c r="O57" i="1"/>
  <c r="BC56" i="1"/>
  <c r="AW56" i="1"/>
  <c r="AU56" i="1"/>
  <c r="AT56" i="1"/>
  <c r="AN56" i="1"/>
  <c r="M56" i="1"/>
  <c r="E56" i="1"/>
  <c r="AY55" i="1"/>
  <c r="AX55" i="1" s="1"/>
  <c r="AN55" i="1"/>
  <c r="O55" i="1"/>
  <c r="AY54" i="1"/>
  <c r="AX54" i="1"/>
  <c r="AN54" i="1"/>
  <c r="E54" i="1"/>
  <c r="M54" i="1" s="1"/>
  <c r="AY53" i="1"/>
  <c r="AY59" i="1" s="1"/>
  <c r="AX59" i="1" s="1"/>
  <c r="AL59" i="1" s="1"/>
  <c r="AJ59" i="1" s="1"/>
  <c r="AX53" i="1"/>
  <c r="AL53" i="1" s="1"/>
  <c r="AJ53" i="1" s="1"/>
  <c r="AN53" i="1"/>
  <c r="P53" i="1"/>
  <c r="AY52" i="1"/>
  <c r="AX52" i="1" s="1"/>
  <c r="AL52" i="1" s="1"/>
  <c r="AJ52" i="1" s="1"/>
  <c r="AN52" i="1"/>
  <c r="AY51" i="1"/>
  <c r="AY57" i="1" s="1"/>
  <c r="AN51" i="1"/>
  <c r="AN50" i="1" s="1"/>
  <c r="BC50" i="1"/>
  <c r="AZ50" i="1"/>
  <c r="AW50" i="1"/>
  <c r="AW49" i="1" s="1"/>
  <c r="AU50" i="1"/>
  <c r="AT50" i="1"/>
  <c r="AI50" i="1"/>
  <c r="AP47" i="1"/>
  <c r="AO47" i="1" s="1"/>
  <c r="AN47" i="1"/>
  <c r="AL47" i="1"/>
  <c r="P47" i="1"/>
  <c r="AN46" i="1"/>
  <c r="AL46" i="1"/>
  <c r="AR46" i="1" s="1"/>
  <c r="AR41" i="1" s="1"/>
  <c r="AI46" i="1"/>
  <c r="AI41" i="1" s="1"/>
  <c r="P44" i="1"/>
  <c r="E44" i="1"/>
  <c r="M44" i="1" s="1"/>
  <c r="AP43" i="1"/>
  <c r="AO43" i="1" s="1"/>
  <c r="AN43" i="1"/>
  <c r="AL43" i="1"/>
  <c r="AK43" i="1"/>
  <c r="AJ43" i="1" s="1"/>
  <c r="P43" i="1"/>
  <c r="AI64" i="1" s="1"/>
  <c r="AP42" i="1"/>
  <c r="AO42" i="1"/>
  <c r="AN42" i="1"/>
  <c r="AL42" i="1"/>
  <c r="AL41" i="1" s="1"/>
  <c r="AK42" i="1"/>
  <c r="AS41" i="1"/>
  <c r="AQ41" i="1"/>
  <c r="P41" i="1"/>
  <c r="AI62" i="1" s="1"/>
  <c r="AY62" i="1" s="1"/>
  <c r="AX62" i="1" s="1"/>
  <c r="AP40" i="1"/>
  <c r="AP39" i="1" s="1"/>
  <c r="AO40" i="1"/>
  <c r="AO39" i="1" s="1"/>
  <c r="AN40" i="1"/>
  <c r="AN39" i="1" s="1"/>
  <c r="AL40" i="1"/>
  <c r="AL39" i="1" s="1"/>
  <c r="P40" i="1"/>
  <c r="AI61" i="1" s="1"/>
  <c r="BB39" i="1"/>
  <c r="BA39" i="1"/>
  <c r="AZ39" i="1"/>
  <c r="AY39" i="1"/>
  <c r="AX39" i="1"/>
  <c r="AW39" i="1"/>
  <c r="AU39" i="1"/>
  <c r="AT39" i="1"/>
  <c r="AS39" i="1"/>
  <c r="AR39" i="1"/>
  <c r="AQ39" i="1"/>
  <c r="AI39" i="1"/>
  <c r="P39" i="1"/>
  <c r="AP38" i="1"/>
  <c r="AO38" i="1" s="1"/>
  <c r="AN38" i="1"/>
  <c r="AN36" i="1" s="1"/>
  <c r="AL38" i="1"/>
  <c r="AK38" i="1"/>
  <c r="AJ38" i="1" s="1"/>
  <c r="I38" i="1"/>
  <c r="AP37" i="1"/>
  <c r="AO37" i="1" s="1"/>
  <c r="AO36" i="1" s="1"/>
  <c r="AN37" i="1"/>
  <c r="AL37" i="1"/>
  <c r="AL36" i="1" s="1"/>
  <c r="BB36" i="1"/>
  <c r="BA36" i="1"/>
  <c r="AZ36" i="1"/>
  <c r="AY36" i="1"/>
  <c r="AX36" i="1"/>
  <c r="AW36" i="1"/>
  <c r="AU36" i="1"/>
  <c r="AT36" i="1"/>
  <c r="AS36" i="1"/>
  <c r="AR36" i="1"/>
  <c r="AQ36" i="1"/>
  <c r="AI36" i="1"/>
  <c r="I36" i="1"/>
  <c r="AP35" i="1"/>
  <c r="AO35" i="1" s="1"/>
  <c r="AO34" i="1" s="1"/>
  <c r="AN35" i="1"/>
  <c r="AL35" i="1"/>
  <c r="AL34" i="1" s="1"/>
  <c r="AK35" i="1"/>
  <c r="AJ35" i="1" s="1"/>
  <c r="AJ34" i="1" s="1"/>
  <c r="BB34" i="1"/>
  <c r="BA34" i="1"/>
  <c r="AZ34" i="1"/>
  <c r="AY34" i="1"/>
  <c r="AX34" i="1"/>
  <c r="AW34" i="1"/>
  <c r="AU34" i="1"/>
  <c r="AT34" i="1"/>
  <c r="AS34" i="1"/>
  <c r="AR34" i="1"/>
  <c r="AQ34" i="1"/>
  <c r="AN34" i="1"/>
  <c r="AI34" i="1"/>
  <c r="P34" i="1"/>
  <c r="AP33" i="1"/>
  <c r="AO33" i="1"/>
  <c r="AN33" i="1"/>
  <c r="AL33" i="1"/>
  <c r="AK33" i="1"/>
  <c r="AJ33" i="1"/>
  <c r="AP32" i="1"/>
  <c r="AO32" i="1"/>
  <c r="AN32" i="1"/>
  <c r="AL32" i="1"/>
  <c r="AK32" i="1"/>
  <c r="AP31" i="1"/>
  <c r="AO31" i="1" s="1"/>
  <c r="AN31" i="1"/>
  <c r="AL31" i="1"/>
  <c r="AL30" i="1" s="1"/>
  <c r="BB30" i="1"/>
  <c r="BA30" i="1"/>
  <c r="AZ30" i="1"/>
  <c r="AY30" i="1"/>
  <c r="AY23" i="1" s="1"/>
  <c r="AX30" i="1"/>
  <c r="AW30" i="1"/>
  <c r="AU30" i="1"/>
  <c r="AT30" i="1"/>
  <c r="AS30" i="1"/>
  <c r="AR30" i="1"/>
  <c r="AQ30" i="1"/>
  <c r="AN30" i="1"/>
  <c r="AI30" i="1"/>
  <c r="O30" i="1"/>
  <c r="E30" i="1"/>
  <c r="AR29" i="1"/>
  <c r="AR27" i="1" s="1"/>
  <c r="AQ29" i="1"/>
  <c r="AP29" i="1"/>
  <c r="AN29" i="1"/>
  <c r="AL29" i="1"/>
  <c r="AL27" i="1" s="1"/>
  <c r="AI29" i="1"/>
  <c r="AR28" i="1"/>
  <c r="AQ28" i="1"/>
  <c r="AN28" i="1"/>
  <c r="AN27" i="1" s="1"/>
  <c r="AL28" i="1"/>
  <c r="BC27" i="1"/>
  <c r="BB27" i="1"/>
  <c r="BA27" i="1"/>
  <c r="BA23" i="1" s="1"/>
  <c r="AZ27" i="1"/>
  <c r="AZ23" i="1" s="1"/>
  <c r="AY27" i="1"/>
  <c r="AX27" i="1"/>
  <c r="AW27" i="1"/>
  <c r="AW21" i="1" s="1"/>
  <c r="AU27" i="1"/>
  <c r="AU21" i="1" s="1"/>
  <c r="AT27" i="1"/>
  <c r="AS27" i="1"/>
  <c r="AQ27" i="1"/>
  <c r="E27" i="1"/>
  <c r="E28" i="1" s="1"/>
  <c r="E29" i="1" s="1"/>
  <c r="O29" i="1" s="1"/>
  <c r="AP26" i="1"/>
  <c r="AO26" i="1"/>
  <c r="AL26" i="1"/>
  <c r="AK26" i="1"/>
  <c r="AJ26" i="1" s="1"/>
  <c r="P26" i="1"/>
  <c r="AP25" i="1"/>
  <c r="AO25" i="1" s="1"/>
  <c r="AO24" i="1" s="1"/>
  <c r="AL25" i="1"/>
  <c r="AL24" i="1" s="1"/>
  <c r="AK25" i="1"/>
  <c r="AJ25" i="1" s="1"/>
  <c r="AJ24" i="1" s="1"/>
  <c r="AI25" i="1"/>
  <c r="AI28" i="1" s="1"/>
  <c r="AS24" i="1"/>
  <c r="AS23" i="1" s="1"/>
  <c r="AR24" i="1"/>
  <c r="AQ24" i="1"/>
  <c r="AN24" i="1"/>
  <c r="AI24" i="1"/>
  <c r="K24" i="1"/>
  <c r="P24" i="1" s="1"/>
  <c r="AM23" i="1"/>
  <c r="I23" i="1"/>
  <c r="P23" i="1" s="1"/>
  <c r="AD22" i="1"/>
  <c r="I22" i="1"/>
  <c r="P22" i="1" s="1"/>
  <c r="BC21" i="1"/>
  <c r="BB21" i="1"/>
  <c r="AT21" i="1"/>
  <c r="P20" i="1"/>
  <c r="K20" i="1"/>
  <c r="P19" i="1"/>
  <c r="AX18" i="1"/>
  <c r="AP18" i="1"/>
  <c r="AK18" i="1" s="1"/>
  <c r="P18" i="1"/>
  <c r="P17" i="1" s="1"/>
  <c r="C8" i="1"/>
  <c r="C7" i="1"/>
  <c r="AB4" i="1"/>
  <c r="AY117" i="1" l="1"/>
  <c r="AX118" i="1"/>
  <c r="AX117" i="1" s="1"/>
  <c r="BB110" i="1"/>
  <c r="AL110" i="1" s="1"/>
  <c r="AJ110" i="1" s="1"/>
  <c r="AI135" i="1"/>
  <c r="P149" i="1"/>
  <c r="BB106" i="1"/>
  <c r="AL106" i="1" s="1"/>
  <c r="AJ106" i="1" s="1"/>
  <c r="BB123" i="1"/>
  <c r="AL123" i="1"/>
  <c r="AJ123" i="1" s="1"/>
  <c r="AQ21" i="1"/>
  <c r="AR23" i="1"/>
  <c r="O27" i="1"/>
  <c r="O26" i="1" s="1"/>
  <c r="AN41" i="1"/>
  <c r="AK47" i="1"/>
  <c r="AJ47" i="1" s="1"/>
  <c r="AW48" i="1"/>
  <c r="AW22" i="1" s="1"/>
  <c r="AW20" i="1" s="1"/>
  <c r="AW154" i="1" s="1"/>
  <c r="AX51" i="1"/>
  <c r="AX50" i="1" s="1"/>
  <c r="AO68" i="1"/>
  <c r="AU100" i="1"/>
  <c r="AU68" i="1" s="1"/>
  <c r="AL105" i="1"/>
  <c r="AJ105" i="1" s="1"/>
  <c r="AL151" i="1"/>
  <c r="AJ151" i="1" s="1"/>
  <c r="AZ22" i="1"/>
  <c r="P21" i="1"/>
  <c r="AO29" i="1"/>
  <c r="AO30" i="1"/>
  <c r="AU49" i="1"/>
  <c r="AK68" i="1"/>
  <c r="AY136" i="1"/>
  <c r="AY146" i="1"/>
  <c r="AY58" i="1"/>
  <c r="AX58" i="1" s="1"/>
  <c r="AL58" i="1" s="1"/>
  <c r="AJ58" i="1" s="1"/>
  <c r="BC48" i="1"/>
  <c r="AS22" i="1"/>
  <c r="AP24" i="1"/>
  <c r="AI27" i="1"/>
  <c r="AI21" i="1" s="1"/>
  <c r="AP28" i="1"/>
  <c r="AO28" i="1" s="1"/>
  <c r="AO27" i="1" s="1"/>
  <c r="AK29" i="1"/>
  <c r="AJ29" i="1" s="1"/>
  <c r="BB23" i="1"/>
  <c r="BC33" i="1"/>
  <c r="AK37" i="1"/>
  <c r="AJ37" i="1" s="1"/>
  <c r="AJ36" i="1" s="1"/>
  <c r="BA68" i="1"/>
  <c r="AN68" i="1"/>
  <c r="AP68" i="1"/>
  <c r="AW68" i="1"/>
  <c r="AL150" i="1"/>
  <c r="AJ150" i="1" s="1"/>
  <c r="AL23" i="1"/>
  <c r="AN23" i="1"/>
  <c r="AN22" i="1" s="1"/>
  <c r="AY56" i="1"/>
  <c r="AX57" i="1"/>
  <c r="AY64" i="1"/>
  <c r="AX64" i="1" s="1"/>
  <c r="BB64" i="1" s="1"/>
  <c r="BB55" i="1"/>
  <c r="AL55" i="1" s="1"/>
  <c r="AJ55" i="1" s="1"/>
  <c r="AY98" i="1"/>
  <c r="AX98" i="1" s="1"/>
  <c r="AY92" i="1"/>
  <c r="AX92" i="1" s="1"/>
  <c r="BB92" i="1" s="1"/>
  <c r="P16" i="1"/>
  <c r="AI23" i="1"/>
  <c r="AY61" i="1"/>
  <c r="AI60" i="1"/>
  <c r="AY115" i="1"/>
  <c r="AX115" i="1" s="1"/>
  <c r="BB115" i="1" s="1"/>
  <c r="E68" i="1"/>
  <c r="K68" i="1" s="1"/>
  <c r="P68" i="1" s="1"/>
  <c r="AI86" i="1" s="1"/>
  <c r="E66" i="1"/>
  <c r="K66" i="1" s="1"/>
  <c r="P66" i="1" s="1"/>
  <c r="AZ21" i="1"/>
  <c r="AZ20" i="1" s="1"/>
  <c r="AZ154" i="1" s="1"/>
  <c r="AQ23" i="1"/>
  <c r="AQ22" i="1" s="1"/>
  <c r="AQ20" i="1" s="1"/>
  <c r="AK40" i="1"/>
  <c r="AJ42" i="1"/>
  <c r="BB54" i="1"/>
  <c r="AL54" i="1"/>
  <c r="AJ54" i="1" s="1"/>
  <c r="BB65" i="1"/>
  <c r="AL65" i="1" s="1"/>
  <c r="AJ65" i="1" s="1"/>
  <c r="BB122" i="1"/>
  <c r="AL122" i="1" s="1"/>
  <c r="AJ122" i="1" s="1"/>
  <c r="P144" i="1"/>
  <c r="AI129" i="1"/>
  <c r="AL149" i="1"/>
  <c r="P155" i="1"/>
  <c r="D4" i="1"/>
  <c r="AN21" i="1"/>
  <c r="AR21" i="1"/>
  <c r="AR20" i="1" s="1"/>
  <c r="AP30" i="1"/>
  <c r="AK34" i="1"/>
  <c r="AP34" i="1"/>
  <c r="AT49" i="1"/>
  <c r="AY50" i="1"/>
  <c r="P52" i="1"/>
  <c r="BB66" i="1"/>
  <c r="AL66" i="1" s="1"/>
  <c r="AJ66" i="1" s="1"/>
  <c r="BB87" i="1"/>
  <c r="AL87" i="1" s="1"/>
  <c r="AJ87" i="1" s="1"/>
  <c r="AY72" i="1"/>
  <c r="AX72" i="1" s="1"/>
  <c r="AL75" i="1"/>
  <c r="AJ75" i="1" s="1"/>
  <c r="BB78" i="1"/>
  <c r="AL78" i="1" s="1"/>
  <c r="AJ78" i="1" s="1"/>
  <c r="AL80" i="1"/>
  <c r="AJ80" i="1" s="1"/>
  <c r="P103" i="1"/>
  <c r="AI104" i="1" s="1"/>
  <c r="BB107" i="1"/>
  <c r="AL107" i="1" s="1"/>
  <c r="AJ107" i="1" s="1"/>
  <c r="BB137" i="1"/>
  <c r="BB136" i="1" s="1"/>
  <c r="AL137" i="1"/>
  <c r="AX136" i="1"/>
  <c r="BB147" i="1"/>
  <c r="BB146" i="1" s="1"/>
  <c r="AX146" i="1"/>
  <c r="BB143" i="1"/>
  <c r="AL143" i="1" s="1"/>
  <c r="AJ143" i="1" s="1"/>
  <c r="AI138" i="1"/>
  <c r="AK31" i="1"/>
  <c r="BA51" i="1"/>
  <c r="BA50" i="1" s="1"/>
  <c r="BB62" i="1"/>
  <c r="AL62" i="1" s="1"/>
  <c r="AJ62" i="1" s="1"/>
  <c r="AL73" i="1"/>
  <c r="AJ73" i="1" s="1"/>
  <c r="AY135" i="1"/>
  <c r="AX135" i="1" s="1"/>
  <c r="BB135" i="1" s="1"/>
  <c r="BB141" i="1"/>
  <c r="AL141" i="1" s="1"/>
  <c r="AJ141" i="1" s="1"/>
  <c r="AK24" i="1"/>
  <c r="O28" i="1"/>
  <c r="AJ32" i="1"/>
  <c r="BC32" i="1" s="1"/>
  <c r="BC30" i="1" s="1"/>
  <c r="BC23" i="1" s="1"/>
  <c r="BC22" i="1" s="1"/>
  <c r="BC20" i="1" s="1"/>
  <c r="BC154" i="1" s="1"/>
  <c r="AP46" i="1"/>
  <c r="AY82" i="1"/>
  <c r="AT68" i="1"/>
  <c r="BB84" i="1"/>
  <c r="AL84" i="1" s="1"/>
  <c r="AJ84" i="1" s="1"/>
  <c r="BB116" i="1"/>
  <c r="AL116" i="1" s="1"/>
  <c r="AJ116" i="1" s="1"/>
  <c r="AX126" i="1"/>
  <c r="AX138" i="1"/>
  <c r="AY132" i="1"/>
  <c r="AS21" i="1"/>
  <c r="AS20" i="1" s="1"/>
  <c r="AP36" i="1"/>
  <c r="AN48" i="1"/>
  <c r="AL63" i="1"/>
  <c r="AJ63" i="1" s="1"/>
  <c r="AL67" i="1"/>
  <c r="AJ67" i="1" s="1"/>
  <c r="AI69" i="1"/>
  <c r="AX70" i="1"/>
  <c r="AY69" i="1"/>
  <c r="AL71" i="1"/>
  <c r="AJ71" i="1" s="1"/>
  <c r="BB94" i="1"/>
  <c r="AY94" i="1"/>
  <c r="AX94" i="1" s="1"/>
  <c r="BB89" i="1"/>
  <c r="AL89" i="1" s="1"/>
  <c r="AJ89" i="1" s="1"/>
  <c r="AI101" i="1"/>
  <c r="BB114" i="1"/>
  <c r="AL114" i="1" s="1"/>
  <c r="AJ114" i="1" s="1"/>
  <c r="AL131" i="1"/>
  <c r="AY138" i="1"/>
  <c r="BB142" i="1"/>
  <c r="AL142" i="1" s="1"/>
  <c r="AJ142" i="1" s="1"/>
  <c r="BB153" i="1"/>
  <c r="BB148" i="1" s="1"/>
  <c r="AI148" i="1"/>
  <c r="AX77" i="1"/>
  <c r="AY74" i="1"/>
  <c r="BB108" i="1"/>
  <c r="AL108" i="1" s="1"/>
  <c r="AJ108" i="1" s="1"/>
  <c r="BB139" i="1"/>
  <c r="P139" i="1"/>
  <c r="AI127" i="1"/>
  <c r="AL145" i="1"/>
  <c r="AJ145" i="1" s="1"/>
  <c r="AL90" i="1"/>
  <c r="AJ90" i="1" s="1"/>
  <c r="BB95" i="1"/>
  <c r="AL95" i="1" s="1"/>
  <c r="AJ95" i="1" s="1"/>
  <c r="BB99" i="1"/>
  <c r="AL99" i="1" s="1"/>
  <c r="AJ99" i="1" s="1"/>
  <c r="BB102" i="1"/>
  <c r="AL102" i="1" s="1"/>
  <c r="AJ102" i="1" s="1"/>
  <c r="AL113" i="1"/>
  <c r="AJ113" i="1" s="1"/>
  <c r="BB113" i="1"/>
  <c r="AY120" i="1"/>
  <c r="AX121" i="1"/>
  <c r="AL140" i="1"/>
  <c r="AJ140" i="1" s="1"/>
  <c r="AL144" i="1"/>
  <c r="AI103" i="1"/>
  <c r="AV100" i="1"/>
  <c r="AM103" i="1"/>
  <c r="AM100" i="1" s="1"/>
  <c r="AM48" i="1" s="1"/>
  <c r="AM20" i="1" s="1"/>
  <c r="AX148" i="1"/>
  <c r="AL153" i="1"/>
  <c r="AJ153" i="1" s="1"/>
  <c r="BB118" i="1" l="1"/>
  <c r="BB117" i="1" s="1"/>
  <c r="AP27" i="1"/>
  <c r="AP21" i="1" s="1"/>
  <c r="BB138" i="1"/>
  <c r="AK28" i="1"/>
  <c r="AL147" i="1"/>
  <c r="AK36" i="1"/>
  <c r="AU48" i="1"/>
  <c r="AU22" i="1" s="1"/>
  <c r="AU20" i="1" s="1"/>
  <c r="AU18" i="1" s="1"/>
  <c r="AO23" i="1"/>
  <c r="AO22" i="1" s="1"/>
  <c r="AL126" i="1"/>
  <c r="BB126" i="1"/>
  <c r="AJ31" i="1"/>
  <c r="AJ30" i="1" s="1"/>
  <c r="AK30" i="1"/>
  <c r="AY104" i="1"/>
  <c r="AX104" i="1" s="1"/>
  <c r="BB104" i="1" s="1"/>
  <c r="AJ149" i="1"/>
  <c r="AJ148" i="1" s="1"/>
  <c r="AL148" i="1"/>
  <c r="AY86" i="1"/>
  <c r="AX86" i="1" s="1"/>
  <c r="BB86" i="1" s="1"/>
  <c r="AX61" i="1"/>
  <c r="AY60" i="1"/>
  <c r="BA57" i="1"/>
  <c r="BA56" i="1" s="1"/>
  <c r="BA49" i="1" s="1"/>
  <c r="BA48" i="1" s="1"/>
  <c r="BA22" i="1" s="1"/>
  <c r="AX56" i="1"/>
  <c r="AV68" i="1"/>
  <c r="AV48" i="1"/>
  <c r="BB121" i="1"/>
  <c r="BB120" i="1" s="1"/>
  <c r="AX120" i="1"/>
  <c r="AY127" i="1"/>
  <c r="AI124" i="1"/>
  <c r="AJ28" i="1"/>
  <c r="AJ27" i="1" s="1"/>
  <c r="AK27" i="1"/>
  <c r="AJ147" i="1"/>
  <c r="AJ146" i="1" s="1"/>
  <c r="AL146" i="1"/>
  <c r="AJ103" i="1"/>
  <c r="AN20" i="1"/>
  <c r="BB98" i="1"/>
  <c r="AL98" i="1" s="1"/>
  <c r="AJ98" i="1" s="1"/>
  <c r="AL64" i="1"/>
  <c r="AJ64" i="1" s="1"/>
  <c r="P138" i="1"/>
  <c r="P98" i="1"/>
  <c r="AL94" i="1"/>
  <c r="AJ94" i="1" s="1"/>
  <c r="AX69" i="1"/>
  <c r="BB70" i="1"/>
  <c r="BB69" i="1" s="1"/>
  <c r="AS154" i="1"/>
  <c r="AS156" i="1" s="1"/>
  <c r="AS18" i="1"/>
  <c r="AL135" i="1"/>
  <c r="AJ135" i="1" s="1"/>
  <c r="AJ133" i="1" s="1"/>
  <c r="AL51" i="1"/>
  <c r="AY49" i="1"/>
  <c r="AY21" i="1"/>
  <c r="AY129" i="1"/>
  <c r="AI128" i="1"/>
  <c r="BB72" i="1"/>
  <c r="AL72" i="1" s="1"/>
  <c r="AJ72" i="1" s="1"/>
  <c r="AL92" i="1"/>
  <c r="AJ92" i="1" s="1"/>
  <c r="AO21" i="1"/>
  <c r="BB77" i="1"/>
  <c r="BB74" i="1" s="1"/>
  <c r="AX74" i="1"/>
  <c r="AO46" i="1"/>
  <c r="AO41" i="1" s="1"/>
  <c r="AP41" i="1"/>
  <c r="AK46" i="1"/>
  <c r="AJ137" i="1"/>
  <c r="AJ136" i="1" s="1"/>
  <c r="AL136" i="1"/>
  <c r="AK39" i="1"/>
  <c r="AJ40" i="1"/>
  <c r="AJ39" i="1" s="1"/>
  <c r="AJ144" i="1"/>
  <c r="AJ138" i="1" s="1"/>
  <c r="AL139" i="1"/>
  <c r="AJ139" i="1" s="1"/>
  <c r="AJ131" i="1"/>
  <c r="AY101" i="1"/>
  <c r="AI100" i="1"/>
  <c r="AX132" i="1"/>
  <c r="AY130" i="1"/>
  <c r="AX82" i="1"/>
  <c r="BA21" i="1"/>
  <c r="P143" i="1"/>
  <c r="P65" i="1"/>
  <c r="P46" i="1" s="1"/>
  <c r="P25" i="1" s="1"/>
  <c r="AI83" i="1"/>
  <c r="AL118" i="1"/>
  <c r="AL115" i="1"/>
  <c r="AJ115" i="1" s="1"/>
  <c r="AP23" i="1" l="1"/>
  <c r="AP22" i="1" s="1"/>
  <c r="AU154" i="1"/>
  <c r="P174" i="1"/>
  <c r="AY83" i="1"/>
  <c r="AI81" i="1"/>
  <c r="BA20" i="1"/>
  <c r="BA154" i="1" s="1"/>
  <c r="BB82" i="1"/>
  <c r="AL82" i="1" s="1"/>
  <c r="AX129" i="1"/>
  <c r="AY128" i="1"/>
  <c r="AJ51" i="1"/>
  <c r="AJ50" i="1" s="1"/>
  <c r="AL50" i="1"/>
  <c r="AV22" i="1"/>
  <c r="AV20" i="1" s="1"/>
  <c r="AV18" i="1" s="1"/>
  <c r="AM18" i="1" s="1"/>
  <c r="AM19" i="1" s="1"/>
  <c r="AT48" i="1"/>
  <c r="AT22" i="1" s="1"/>
  <c r="AT20" i="1" s="1"/>
  <c r="AT154" i="1" s="1"/>
  <c r="AJ126" i="1"/>
  <c r="AJ46" i="1"/>
  <c r="AJ41" i="1" s="1"/>
  <c r="AJ23" i="1" s="1"/>
  <c r="AK41" i="1"/>
  <c r="AK23" i="1" s="1"/>
  <c r="AK22" i="1" s="1"/>
  <c r="AL61" i="1"/>
  <c r="AX60" i="1"/>
  <c r="BB61" i="1"/>
  <c r="BB60" i="1" s="1"/>
  <c r="AK21" i="1"/>
  <c r="AL77" i="1"/>
  <c r="AL18" i="1"/>
  <c r="AO18" i="1"/>
  <c r="AL70" i="1"/>
  <c r="AL57" i="1"/>
  <c r="AT18" i="1"/>
  <c r="AL117" i="1"/>
  <c r="AJ118" i="1"/>
  <c r="AJ117" i="1" s="1"/>
  <c r="AL132" i="1"/>
  <c r="AX130" i="1"/>
  <c r="BB132" i="1"/>
  <c r="BB130" i="1" s="1"/>
  <c r="AX101" i="1"/>
  <c r="AY100" i="1"/>
  <c r="AL138" i="1"/>
  <c r="AO20" i="1"/>
  <c r="AP20" i="1"/>
  <c r="AP154" i="1" s="1"/>
  <c r="AX127" i="1"/>
  <c r="AY124" i="1"/>
  <c r="AL121" i="1"/>
  <c r="AX21" i="1"/>
  <c r="AX49" i="1"/>
  <c r="AL86" i="1"/>
  <c r="AJ86" i="1" s="1"/>
  <c r="AL104" i="1"/>
  <c r="AJ104" i="1" s="1"/>
  <c r="AJ82" i="1" l="1"/>
  <c r="AI48" i="1"/>
  <c r="AI68" i="1"/>
  <c r="AX124" i="1"/>
  <c r="BB127" i="1"/>
  <c r="BB124" i="1" s="1"/>
  <c r="AJ132" i="1"/>
  <c r="AJ130" i="1" s="1"/>
  <c r="AL130" i="1"/>
  <c r="AL69" i="1"/>
  <c r="AJ70" i="1"/>
  <c r="AJ69" i="1" s="1"/>
  <c r="AJ77" i="1"/>
  <c r="AJ74" i="1" s="1"/>
  <c r="AL74" i="1"/>
  <c r="AJ61" i="1"/>
  <c r="AJ60" i="1" s="1"/>
  <c r="AL60" i="1"/>
  <c r="AX83" i="1"/>
  <c r="AY81" i="1"/>
  <c r="AP155" i="1"/>
  <c r="AP156" i="1"/>
  <c r="AX100" i="1"/>
  <c r="BB101" i="1"/>
  <c r="BB100" i="1" s="1"/>
  <c r="AJ57" i="1"/>
  <c r="AJ56" i="1" s="1"/>
  <c r="AJ21" i="1" s="1"/>
  <c r="AL56" i="1"/>
  <c r="AL21" i="1" s="1"/>
  <c r="AK20" i="1"/>
  <c r="AJ121" i="1"/>
  <c r="AJ120" i="1" s="1"/>
  <c r="AL120" i="1"/>
  <c r="AX128" i="1"/>
  <c r="BB129" i="1"/>
  <c r="BB128" i="1" s="1"/>
  <c r="AL129" i="1" l="1"/>
  <c r="AL49" i="1"/>
  <c r="AL127" i="1"/>
  <c r="AL83" i="1"/>
  <c r="BB83" i="1"/>
  <c r="BB81" i="1" s="1"/>
  <c r="AX81" i="1"/>
  <c r="AJ127" i="1"/>
  <c r="AJ124" i="1" s="1"/>
  <c r="AL124" i="1"/>
  <c r="AL128" i="1"/>
  <c r="AJ129" i="1"/>
  <c r="AJ128" i="1" s="1"/>
  <c r="AJ49" i="1"/>
  <c r="AK154" i="1"/>
  <c r="AK19" i="1"/>
  <c r="AP19" i="1" s="1"/>
  <c r="AK6" i="1"/>
  <c r="AI22" i="1"/>
  <c r="AI20" i="1"/>
  <c r="AI154" i="1" s="1"/>
  <c r="AL101" i="1"/>
  <c r="AY68" i="1"/>
  <c r="AY48" i="1"/>
  <c r="AY22" i="1" s="1"/>
  <c r="AY20" i="1" s="1"/>
  <c r="AI155" i="1" l="1"/>
  <c r="AI156" i="1" s="1"/>
  <c r="AY154" i="1"/>
  <c r="AY155" i="1" s="1"/>
  <c r="AY19" i="1"/>
  <c r="AK155" i="1"/>
  <c r="AK156" i="1" s="1"/>
  <c r="AX68" i="1"/>
  <c r="AX48" i="1"/>
  <c r="AX22" i="1" s="1"/>
  <c r="AX20" i="1" s="1"/>
  <c r="AX154" i="1" s="1"/>
  <c r="AX155" i="1" s="1"/>
  <c r="BB68" i="1"/>
  <c r="BB48" i="1"/>
  <c r="AL100" i="1"/>
  <c r="AJ101" i="1"/>
  <c r="AJ100" i="1" s="1"/>
  <c r="AJ83" i="1"/>
  <c r="AJ81" i="1" s="1"/>
  <c r="AJ48" i="1" s="1"/>
  <c r="AL81" i="1"/>
  <c r="AJ22" i="1" l="1"/>
  <c r="AJ20" i="1"/>
  <c r="AJ154" i="1" s="1"/>
  <c r="AL48" i="1"/>
  <c r="AL68" i="1"/>
  <c r="AJ68" i="1"/>
  <c r="BB20" i="1"/>
  <c r="BB154" i="1" s="1"/>
  <c r="BB155" i="1" s="1"/>
  <c r="BB22" i="1"/>
  <c r="AL20" i="1" l="1"/>
  <c r="AL22" i="1"/>
  <c r="AJ155" i="1"/>
  <c r="AJ156" i="1" s="1"/>
  <c r="AL154" i="1" l="1"/>
  <c r="AL155" i="1" s="1"/>
  <c r="AL19" i="1"/>
</calcChain>
</file>

<file path=xl/sharedStrings.xml><?xml version="1.0" encoding="utf-8"?>
<sst xmlns="http://schemas.openxmlformats.org/spreadsheetml/2006/main" count="1652" uniqueCount="436">
  <si>
    <t>Расчеты к смете на 2023 год</t>
  </si>
  <si>
    <t xml:space="preserve">Расчет объема финансового обеспечения на 2022 год </t>
  </si>
  <si>
    <t>Гимназия № 8</t>
  </si>
  <si>
    <t>Муниципальное бюджетное образовательное учреждение</t>
  </si>
  <si>
    <t>Всего классов</t>
  </si>
  <si>
    <t>Учреждение</t>
  </si>
  <si>
    <t>Всего учащихся</t>
  </si>
  <si>
    <t>Площадь учреждения общая</t>
  </si>
  <si>
    <t>Площадь учреждения отапливаемая</t>
  </si>
  <si>
    <t>Един. изм.</t>
  </si>
  <si>
    <t>руб</t>
  </si>
  <si>
    <t>Кол-во номеров телеф. связи</t>
  </si>
  <si>
    <t>Объем НФЗ по нормативу</t>
  </si>
  <si>
    <t>Фактический НСИ</t>
  </si>
  <si>
    <t>№ стр.</t>
  </si>
  <si>
    <t>свод</t>
  </si>
  <si>
    <t>Доп.ЭК</t>
  </si>
  <si>
    <t>Новые Доп ЭК</t>
  </si>
  <si>
    <t>КОСГУ</t>
  </si>
  <si>
    <t xml:space="preserve"> (счета ЛАГ, ЛБГ) - КЦСР 0220242100, 0220242200, 0220825280, 0220925160  (ДКР302,303,304,305,308,2Б6)</t>
  </si>
  <si>
    <t xml:space="preserve"> Доп.КР 302</t>
  </si>
  <si>
    <t xml:space="preserve"> Доп.КР 303, 304, 305, 308, 2Б6</t>
  </si>
  <si>
    <t>Ассигнования 2019 год     ДопКр 539 (род.плата)</t>
  </si>
  <si>
    <t xml:space="preserve"> Расчетная потребность на 2020 год</t>
  </si>
  <si>
    <t>Смета учреждения на выполнение муниципального задания (счет ЛАГ, ЛБГ),  всего:</t>
  </si>
  <si>
    <t>в том числе  за счет:</t>
  </si>
  <si>
    <t>выполнение муниципального задания (счет ЛАГ,  ЛБГ)</t>
  </si>
  <si>
    <t>Контроль распред.ОФО</t>
  </si>
  <si>
    <t>Объем финансового обеспечения</t>
  </si>
  <si>
    <t>Ассигнования  2019 год</t>
  </si>
  <si>
    <t>Принятые бюджетные обязательства всего</t>
  </si>
  <si>
    <t>в том числе</t>
  </si>
  <si>
    <t>субвенции РТ</t>
  </si>
  <si>
    <t>бюджета города</t>
  </si>
  <si>
    <t xml:space="preserve"> бюджет РФ</t>
  </si>
  <si>
    <t>род.платы</t>
  </si>
  <si>
    <t>Итого НФЗ:</t>
  </si>
  <si>
    <t>Итого НСВ :</t>
  </si>
  <si>
    <t>Итого НСИ:</t>
  </si>
  <si>
    <t xml:space="preserve"> доведение до уровня  утвержденной тарификации</t>
  </si>
  <si>
    <t xml:space="preserve">сверхнормативные расходы </t>
  </si>
  <si>
    <t>Объем финансового обеспечения из бюджета</t>
  </si>
  <si>
    <t>за счет  субвенции  РТ</t>
  </si>
  <si>
    <t>за счет бюджета города на госполномочия (субсидия)</t>
  </si>
  <si>
    <t xml:space="preserve"> бюджета города</t>
  </si>
  <si>
    <t>за счет субвенции РТ</t>
  </si>
  <si>
    <t xml:space="preserve"> субвенция РТ "резерв на премию")</t>
  </si>
  <si>
    <t xml:space="preserve"> субвенция РТ (ДРКБ, СИЗО)</t>
  </si>
  <si>
    <t>субсидия, за счет бюджета города</t>
  </si>
  <si>
    <t xml:space="preserve"> бюджет города</t>
  </si>
  <si>
    <t>за счет род.платы</t>
  </si>
  <si>
    <t xml:space="preserve"> расходы содержанию имущества</t>
  </si>
  <si>
    <t>содержание автотранспорта</t>
  </si>
  <si>
    <t>РАСХОДЫ</t>
  </si>
  <si>
    <t>косгу</t>
  </si>
  <si>
    <t>Прогноз на 2023 год</t>
  </si>
  <si>
    <t>1</t>
  </si>
  <si>
    <t>4=5+6+7</t>
  </si>
  <si>
    <t>6=7+8+9</t>
  </si>
  <si>
    <t>7=11</t>
  </si>
  <si>
    <t>8=12+16+18+21+22</t>
  </si>
  <si>
    <t>7а=16а</t>
  </si>
  <si>
    <t>9=17</t>
  </si>
  <si>
    <t>10=11+12</t>
  </si>
  <si>
    <t>11_1</t>
  </si>
  <si>
    <t>11_2</t>
  </si>
  <si>
    <t>16а</t>
  </si>
  <si>
    <t>9-6=0</t>
  </si>
  <si>
    <t>Наименование показателя</t>
  </si>
  <si>
    <t>ВСЕГО</t>
  </si>
  <si>
    <t>КЦСР</t>
  </si>
  <si>
    <t>0220825280</t>
  </si>
  <si>
    <t>0220242100, 0220242200, 022925160</t>
  </si>
  <si>
    <t xml:space="preserve">0220242100, 0220242200, 022925160 </t>
  </si>
  <si>
    <t>0220242200</t>
  </si>
  <si>
    <t>0220242100, 0220242200</t>
  </si>
  <si>
    <t>Оплата труда и начисления на выплаты по оплате труда</t>
  </si>
  <si>
    <t>ДКР</t>
  </si>
  <si>
    <t>302</t>
  </si>
  <si>
    <t>304</t>
  </si>
  <si>
    <t>305</t>
  </si>
  <si>
    <t>308</t>
  </si>
  <si>
    <t>Заработная плата, всего:</t>
  </si>
  <si>
    <t>ДопФК</t>
  </si>
  <si>
    <t>Заработная плата педагогического персонала</t>
  </si>
  <si>
    <t>211004</t>
  </si>
  <si>
    <t>х</t>
  </si>
  <si>
    <t>=</t>
  </si>
  <si>
    <t>Нормативный ОФО ("Барс.МБП 2019_Тарификация"), всего на 2019 год</t>
  </si>
  <si>
    <t>x</t>
  </si>
  <si>
    <t xml:space="preserve"> - </t>
  </si>
  <si>
    <t>Заработная плата вспомогательного персонала</t>
  </si>
  <si>
    <t>211005</t>
  </si>
  <si>
    <t>1_1</t>
  </si>
  <si>
    <t xml:space="preserve">Контроль по нормативу </t>
  </si>
  <si>
    <t>Заработная плата административного персонала</t>
  </si>
  <si>
    <t>Всего в смете учреждения</t>
  </si>
  <si>
    <t>Начисления на выплаты по оплате труда, всего:</t>
  </si>
  <si>
    <t>Зарплата с начислениями</t>
  </si>
  <si>
    <t>Начисления на заработную плату педагогического персонала</t>
  </si>
  <si>
    <t>213004</t>
  </si>
  <si>
    <t>прочие расходы (без 211, 213, 223, 291001, 291004, 291005, 291014, 291015)</t>
  </si>
  <si>
    <t>Начисления на заработную плату вспомогательного персонала</t>
  </si>
  <si>
    <t>213005</t>
  </si>
  <si>
    <t>Раздел 1. Полномочия РТ</t>
  </si>
  <si>
    <t>Начисление на заработную плату административного персонала</t>
  </si>
  <si>
    <t xml:space="preserve">211 "Заработная плата" </t>
  </si>
  <si>
    <t>Оплата работ, услуг:</t>
  </si>
  <si>
    <t>211</t>
  </si>
  <si>
    <t>Услуги связи, всего:</t>
  </si>
  <si>
    <t>Услуги телефонной связи (абонентская и повременная плата (ежемесячный платеж) за местные, междугородные, международные переговоры)</t>
  </si>
  <si>
    <t>221001</t>
  </si>
  <si>
    <t>абонплата</t>
  </si>
  <si>
    <t xml:space="preserve">х </t>
  </si>
  <si>
    <t>213 "Начисления на оплату труда"</t>
  </si>
  <si>
    <t>предоставление абонлинии</t>
  </si>
  <si>
    <t>213</t>
  </si>
  <si>
    <t>техобслуживание</t>
  </si>
  <si>
    <t>IP</t>
  </si>
  <si>
    <t>226 "Прочие работы, услуги"</t>
  </si>
  <si>
    <t>Плата за предоставление доступа (разовый платеж) к телефонной линии связи и Интернет</t>
  </si>
  <si>
    <t>221002</t>
  </si>
  <si>
    <t>За участие в семинарах, совещаниях, конференциях, курсах повышения квалификации, проф.обучение, за образовательные услуги, организация и проведение совещаний, конкурсов, олимпиад, выставок, мероприятий, конференций, соревнований, экскурсий</t>
  </si>
  <si>
    <t>226006</t>
  </si>
  <si>
    <t>226</t>
  </si>
  <si>
    <t>Плата за услуги сети Интернет</t>
  </si>
  <si>
    <t>221012</t>
  </si>
  <si>
    <t>13_1</t>
  </si>
  <si>
    <t>КОСГУ 266 «Социальные пособия и компенсации персоналу в денежной форме»</t>
  </si>
  <si>
    <t xml:space="preserve">Прочие услуги связи </t>
  </si>
  <si>
    <t>221099</t>
  </si>
  <si>
    <t>13_2</t>
  </si>
  <si>
    <t>Прочие пособия</t>
  </si>
  <si>
    <t>266</t>
  </si>
  <si>
    <t>Транспортные услуги, всего:</t>
  </si>
  <si>
    <t>345  "Увеличение стоимости мягкого инвентаря"</t>
  </si>
  <si>
    <t>Зарплата внештатных сотрудников (за исключением зарплаты внештатных сотрудников, связанной со школьными перевозками)</t>
  </si>
  <si>
    <t>222001</t>
  </si>
  <si>
    <t>Закупка мягкого инвентаря, одежды, обмундирования</t>
  </si>
  <si>
    <t>340002</t>
  </si>
  <si>
    <t>345</t>
  </si>
  <si>
    <t>Командировочные расходы (проезд)</t>
  </si>
  <si>
    <t>222010</t>
  </si>
  <si>
    <t>310 "Увеличение стоимости основных средств"</t>
  </si>
  <si>
    <t>Транспортные услуги по перевозке школьников</t>
  </si>
  <si>
    <t>222012</t>
  </si>
  <si>
    <t>Приобретение автоматизированных рабочих мест, серверного и т.п. оборудования</t>
  </si>
  <si>
    <t>310004</t>
  </si>
  <si>
    <t>310</t>
  </si>
  <si>
    <t>Прочие транспортные услуги  (наем)</t>
  </si>
  <si>
    <t>222099</t>
  </si>
  <si>
    <t>Прочие расходы по увеличению стоимости основных средств</t>
  </si>
  <si>
    <t>310007, 310099</t>
  </si>
  <si>
    <t>Коммунальные услуги, всего:</t>
  </si>
  <si>
    <t>349  "Увеличение стоимости прочих материальных запасов однократного применения"</t>
  </si>
  <si>
    <t xml:space="preserve">Электроснабжение </t>
  </si>
  <si>
    <t>223001</t>
  </si>
  <si>
    <t>Приобретение (изготовление) подарочной и сувенирной продукции (поздравительные открытки, адреса, почетные грамоты, дипломы, благодарственные письма, цветы, сувенирная продукция, медали, кубки, призы, подарки)</t>
  </si>
  <si>
    <t>290011</t>
  </si>
  <si>
    <t>349</t>
  </si>
  <si>
    <t xml:space="preserve">Теплоснабжение </t>
  </si>
  <si>
    <t>223002</t>
  </si>
  <si>
    <t>346 "Увеличение стоимости прочих оборотных запасов (материалов)"</t>
  </si>
  <si>
    <t>Газоснабжение</t>
  </si>
  <si>
    <t>Закупка материалов, используемых в процессе обучения</t>
  </si>
  <si>
    <t>340004</t>
  </si>
  <si>
    <t>346</t>
  </si>
  <si>
    <t xml:space="preserve">Водоснабжение </t>
  </si>
  <si>
    <t>223004</t>
  </si>
  <si>
    <t>Приобретение канцелярских, хозяйственных товаров, расходных материалов</t>
  </si>
  <si>
    <t>340017</t>
  </si>
  <si>
    <t>вывоз ТБО -расчет по учащимся</t>
  </si>
  <si>
    <t>вывоз ЖБО</t>
  </si>
  <si>
    <t>Работы, услуги по содержанию имущества, всего:</t>
  </si>
  <si>
    <t>Прочие расходы по увеличению стоимости прочих оборотных запасов (Ассигнования)</t>
  </si>
  <si>
    <t>340099</t>
  </si>
  <si>
    <t xml:space="preserve">Обслуживание охранной и пожарной сигнализации </t>
  </si>
  <si>
    <t>225001</t>
  </si>
  <si>
    <t>Прочие расходы по увеличению стоимости прочих оборотных запасов (Лимиты)</t>
  </si>
  <si>
    <t>Обслуживание и ремонт систем АПС</t>
  </si>
  <si>
    <t>Раздел 2. Полномочия  города</t>
  </si>
  <si>
    <t xml:space="preserve">Обслуживание и ремонт КТС </t>
  </si>
  <si>
    <t>Обслуживание систем безопасности (видеонаблюдения)</t>
  </si>
  <si>
    <t>Техническое обслуживание системы Стрелец - Мониторинг</t>
  </si>
  <si>
    <t>Содержание в чистоте помещений, зданий, дворов, иного имущества (озеленение, уборка и вывоз снега ,мусора, отходов, утилизация мусора (ТБО), дератизация, дезинфекция, дезинсекция, газация, санитарно-гигиеническое обслуживание, мойка и чистка (химчистка) и</t>
  </si>
  <si>
    <t>225002</t>
  </si>
  <si>
    <t>Вывоз мусора и содержание контейнерных площадок:</t>
  </si>
  <si>
    <t>конт.</t>
  </si>
  <si>
    <t>объем конт.</t>
  </si>
  <si>
    <t>недели</t>
  </si>
  <si>
    <t>тариф</t>
  </si>
  <si>
    <t>Кухонные работники</t>
  </si>
  <si>
    <t>900200</t>
  </si>
  <si>
    <t>вывоз ТБО -расчет по воспитанникам</t>
  </si>
  <si>
    <t>212 "Прочие несоциальные выплаты персоналу в денежной форме"</t>
  </si>
  <si>
    <t>вывоз ТБО -расчет по ГПД</t>
  </si>
  <si>
    <t>Суточные работникам (сотрудникам) при служебных командировках (кроме водителей)</t>
  </si>
  <si>
    <t>212006</t>
  </si>
  <si>
    <t>212</t>
  </si>
  <si>
    <t>вывоз ТБО -расчет по сотрудникам</t>
  </si>
  <si>
    <t xml:space="preserve">содержание котейнерных площадок </t>
  </si>
  <si>
    <t>Сброс снежного покрова с кровель зданий</t>
  </si>
  <si>
    <t>223 "Коммунальные услуги"</t>
  </si>
  <si>
    <t>Дезинфекция, дезинсекция и дератизация:</t>
  </si>
  <si>
    <t>223</t>
  </si>
  <si>
    <t>Дезинсекция</t>
  </si>
  <si>
    <t>Дератизация</t>
  </si>
  <si>
    <t xml:space="preserve">Газоснабжение </t>
  </si>
  <si>
    <t>223003</t>
  </si>
  <si>
    <t>Благоустройство территории (общестроительные работы вне здания, обрезка деревьев)</t>
  </si>
  <si>
    <t>Проведение работ по ремонту и восстановлению эффективности функционирования коммунальных инженерных систем и коммуникаций, осуществляемые сверх регламентированного условиями поставки коммунальных услуг перечня работ (технологических нужд)</t>
  </si>
  <si>
    <t>225003</t>
  </si>
  <si>
    <t>Оплата энергосервисных договоров (контрактов)</t>
  </si>
  <si>
    <t>Опрессовка систем отопления с частичным ремонтом систем отопления</t>
  </si>
  <si>
    <t>46_1</t>
  </si>
  <si>
    <t>Вывоз твердых коммунальных отходов</t>
  </si>
  <si>
    <t xml:space="preserve">Зарплата внештатных сотрудников </t>
  </si>
  <si>
    <t>225005</t>
  </si>
  <si>
    <t>Прочие коммунальные услуги</t>
  </si>
  <si>
    <t>223099</t>
  </si>
  <si>
    <t>Текущий ремонт зданий, сооружений</t>
  </si>
  <si>
    <t>225007</t>
  </si>
  <si>
    <t>Прочие расходы</t>
  </si>
  <si>
    <t>Техническое обслуживание аппаратного обеспечения (оргтехника, медицинское оборудование, компьютерная техника и т.д.), включающее контроль технического состояния</t>
  </si>
  <si>
    <t>221 "Услуги связи"</t>
  </si>
  <si>
    <t>Техническое обслуживание транспортных средств</t>
  </si>
  <si>
    <t>Услуги телефонной связи (абонентская и повременная плата (ежемесячный платеж) за местные, междугородные, международные  переговоры)</t>
  </si>
  <si>
    <t>221</t>
  </si>
  <si>
    <t>Ремонт транспортных средств</t>
  </si>
  <si>
    <t xml:space="preserve">Услуги сотовой связи </t>
  </si>
  <si>
    <t>221010</t>
  </si>
  <si>
    <t>Технический осмотр транспортных средств</t>
  </si>
  <si>
    <t>Расходы на техническое обслуживание  и ремонт оборудования (торговое, кухонное,офисное)</t>
  </si>
  <si>
    <t>в том числе обслуживание лифтов</t>
  </si>
  <si>
    <t>222 " Транспортные услуги"</t>
  </si>
  <si>
    <t>в том числе обслуживание бассейнов</t>
  </si>
  <si>
    <t>Прочие транспортные услуги</t>
  </si>
  <si>
    <t>222</t>
  </si>
  <si>
    <t>За сервисное обслуживание бортов навигационно-связных технологий</t>
  </si>
  <si>
    <t>в том числе ремонт и обслуживание прочего оборуд. пищеблоков, вентиляции, заправка картриджей, клеймение весов и др.</t>
  </si>
  <si>
    <t>224 ""Арендная плата за пользование имуществом"</t>
  </si>
  <si>
    <t>Техническое обслуживание теплообменников</t>
  </si>
  <si>
    <t>Аренда транспорта, оборудования</t>
  </si>
  <si>
    <t>224002</t>
  </si>
  <si>
    <t>224</t>
  </si>
  <si>
    <t>Расходы на техническое обслуживание вентиляционной системы</t>
  </si>
  <si>
    <t>Техническое обслуживание узла погодного регулирования тепловой энергии</t>
  </si>
  <si>
    <t>Прочие по арендной плате</t>
  </si>
  <si>
    <t>224099</t>
  </si>
  <si>
    <t>Содержание в чистоте имущества, кроме недвижимого</t>
  </si>
  <si>
    <t>225 "Работы, услуги по содержанию имущества"</t>
  </si>
  <si>
    <t>Техническое обслуживание приборов учета</t>
  </si>
  <si>
    <t>Содержание в чистоте помещений, зданий, дворов, иного недвижимого имущества</t>
  </si>
  <si>
    <t>225</t>
  </si>
  <si>
    <t>Обеспечение функционирования и поддержка (восстановление) работоспособности объектов нефинансовых активов</t>
  </si>
  <si>
    <t>225004</t>
  </si>
  <si>
    <t>Техническое обслуживание узла ГВС</t>
  </si>
  <si>
    <t>Противопожарные мероприятия (огнезащитная обработка чердачных перекрытий, замеры сопротивления изоляции, зарядка огнетушителей, опрессовка проводов)</t>
  </si>
  <si>
    <t>Техническое обслуживание и ремонт аппаратного обеспечения</t>
  </si>
  <si>
    <t>225010</t>
  </si>
  <si>
    <t>Противопожарные мероприятия -огнезащитная обработка чердачных перекрытий</t>
  </si>
  <si>
    <t>225011</t>
  </si>
  <si>
    <t>Противопожарные мероприятия -огнезащитная обработка сцен</t>
  </si>
  <si>
    <t>225012</t>
  </si>
  <si>
    <t>Противопожарные мероприятия - замеры сопротивления изоляции</t>
  </si>
  <si>
    <t>225013</t>
  </si>
  <si>
    <t>Противопожарные мероприятия - зарядка огнетушителей</t>
  </si>
  <si>
    <t>Содержание транспортных средств (мойка и т.д.)</t>
  </si>
  <si>
    <t>225014</t>
  </si>
  <si>
    <t>Противопожарные мероприятия - опрессовка проводов</t>
  </si>
  <si>
    <t>Расходы на техническое обслуживание и ремонт оборудования (торговое, кухонное, офисное, лифты и т.п.), мебели, бытовой техники, инвентаря (торгового, кухонного, офисного и т.п.)</t>
  </si>
  <si>
    <t>225015</t>
  </si>
  <si>
    <t>Расходы по валке и обрезке зеленых насаждений</t>
  </si>
  <si>
    <t>225016</t>
  </si>
  <si>
    <t xml:space="preserve">Прочие работы, услуги по содержанию имущества </t>
  </si>
  <si>
    <t>225035</t>
  </si>
  <si>
    <t>Прочие (в том числе обслуживание блочно-модульных котельных)</t>
  </si>
  <si>
    <t>Расходы по валке и обрезке зеленых насаждений в муниципальных учреждениях образования</t>
  </si>
  <si>
    <t>225040</t>
  </si>
  <si>
    <t>Техническое освидетельствование лифтов</t>
  </si>
  <si>
    <t>Услуги по замене счетчиков, трасформаторов</t>
  </si>
  <si>
    <t>Вывоз мусора (ТБО, ТКО) для учреждений СКС</t>
  </si>
  <si>
    <t>Прочие работы, услуги, всего:</t>
  </si>
  <si>
    <t>225099</t>
  </si>
  <si>
    <t xml:space="preserve">Подписка </t>
  </si>
  <si>
    <t>226001</t>
  </si>
  <si>
    <t>226002</t>
  </si>
  <si>
    <t>Организация питания в ДОУ (доп. ФК по районам)</t>
  </si>
  <si>
    <t>226003</t>
  </si>
  <si>
    <t xml:space="preserve">Установка систем охранной и пожарной сигнализации, видеонаблюдения, контроля доступа </t>
  </si>
  <si>
    <t>226005</t>
  </si>
  <si>
    <t>Зарплата внештатных  сотрудников</t>
  </si>
  <si>
    <t>За участие в семинарах, совещаниях, конференциях, курсах повышения квалификации, проф. обучение, за образовательные услуги, организация и проведение совещаний, конкурсов, олимпиад, выставок, мероприятий, конференций, соревнований, экскурсий</t>
  </si>
  <si>
    <t>Организация питания</t>
  </si>
  <si>
    <t>в том числе обучение по теплохозяйству</t>
  </si>
  <si>
    <t>в том числе обучение по электрохозяйству</t>
  </si>
  <si>
    <t>Приобретение неисключительных (пользовательских) прав на программное обеспечение (отраслевых, бухгалтерских программ)</t>
  </si>
  <si>
    <t>226010</t>
  </si>
  <si>
    <t>в том числе обучение по охране труда</t>
  </si>
  <si>
    <t>Приобретение и обновление справочно-информ. баз данных (Гарант, Консультант и др.)</t>
  </si>
  <si>
    <t>226013</t>
  </si>
  <si>
    <t>в том числе обучение по ГО и ЧС</t>
  </si>
  <si>
    <t>Типографские работы</t>
  </si>
  <si>
    <t>226022</t>
  </si>
  <si>
    <t>в том числе обучение по гигиенической подготовке руководителей</t>
  </si>
  <si>
    <t>Размещение объявлений, рекламы в средствах массовой информации, расходы на теле- радиопрограммы, на видеоролики</t>
  </si>
  <si>
    <t>226023</t>
  </si>
  <si>
    <t>в том числе обучение контрактных управляющих</t>
  </si>
  <si>
    <t>Возмещение расходов и оплата по договорам гражданско-правового характера услуг по проживанию в жилых помещениях(найм жилого помещения) при служебных командировках</t>
  </si>
  <si>
    <t>226038</t>
  </si>
  <si>
    <t>в том числе обучение санминимуму</t>
  </si>
  <si>
    <t>Услуги адвокатов, нотариусов, переводчиков, экспертов, инкассаторов</t>
  </si>
  <si>
    <t>226025</t>
  </si>
  <si>
    <t>Приобретение и обновление справочно-информационных баз данных (Гарант, Консультант и др.)</t>
  </si>
  <si>
    <t>Проведение инвентаризации, паспортизации основных средств</t>
  </si>
  <si>
    <t>226027</t>
  </si>
  <si>
    <t>Расходы в области информационно-коммуникационных технологий ФИСФРДО</t>
  </si>
  <si>
    <t>Услуги по страхованию (ОСАГО и др.)</t>
  </si>
  <si>
    <t>226021</t>
  </si>
  <si>
    <t>Оплата медицинских осмотров</t>
  </si>
  <si>
    <t>226031</t>
  </si>
  <si>
    <t>Типографские работы, услуги</t>
  </si>
  <si>
    <t>Возмещение работникам (сотрудникам) расходов по проезду при служебных командировках</t>
  </si>
  <si>
    <t>212005</t>
  </si>
  <si>
    <t>услуги эксперта для списания компьютеров</t>
  </si>
  <si>
    <t xml:space="preserve">Прочие работы, услуги </t>
  </si>
  <si>
    <t>226099</t>
  </si>
  <si>
    <t>Услуги по организации проведения торгов</t>
  </si>
  <si>
    <t>227 "Страхование"</t>
  </si>
  <si>
    <t>Услуги охраны с помощью кнопки тревожной сигнализации (КТС)</t>
  </si>
  <si>
    <t>Услуги по страхованию (за исключением ОСАГО, КАСКО)</t>
  </si>
  <si>
    <t>227001</t>
  </si>
  <si>
    <t>227</t>
  </si>
  <si>
    <t>Услуги по страхованию транспортных средств (ОСАГО, КАСКО)</t>
  </si>
  <si>
    <t>227002</t>
  </si>
  <si>
    <t>Услуги, связанные с подготовкой к лицензированию, аккредитации</t>
  </si>
  <si>
    <t>228  " Услуги, работы для целей капитальных вложений</t>
  </si>
  <si>
    <t>Услуги, связанные с  аттестацией рабочих мест и оргвзносы</t>
  </si>
  <si>
    <t xml:space="preserve">Установка и монтаж локальных вычислительных сетей, систем охранной и пожарной сигнализации, видеонаблюдения, контроля доступа </t>
  </si>
  <si>
    <t>228</t>
  </si>
  <si>
    <t>97_1</t>
  </si>
  <si>
    <t>266 «Социальные пособия и компенсации персоналу в денежной форме»</t>
  </si>
  <si>
    <t>97_2</t>
  </si>
  <si>
    <t>стоимость услуги автоматизированного учета электроэнергии</t>
  </si>
  <si>
    <t>Страхование</t>
  </si>
  <si>
    <t>Приобретение огнетушителей</t>
  </si>
  <si>
    <t>310001</t>
  </si>
  <si>
    <t>Услуги по страхованию транспортных средств (за исключением ОСАГО,КАСКО)</t>
  </si>
  <si>
    <t>Прочие расходы, всего:</t>
  </si>
  <si>
    <t>341  "Увеличение стоимости лекарственных препаратов и материалов, применяемых в медицинских целях"</t>
  </si>
  <si>
    <t>Земельный налог</t>
  </si>
  <si>
    <t>Закупка медикаментов, перевязочных средств (расходных материалов); для медицинских организаций закупка медикаментов, перевязочных средств (расходных материалов) через ГУП «Таттехмедфарм»</t>
  </si>
  <si>
    <t>340006</t>
  </si>
  <si>
    <t>341</t>
  </si>
  <si>
    <t>290002</t>
  </si>
  <si>
    <t>342  "Увеличение стоимости продуктов питания"</t>
  </si>
  <si>
    <t xml:space="preserve">Штрафы, пени и другие экономические санкции( НЕ планировать) </t>
  </si>
  <si>
    <t>290003</t>
  </si>
  <si>
    <t>Продукты питания (за исключением молока и молочных продуктов)</t>
  </si>
  <si>
    <t>340005</t>
  </si>
  <si>
    <t>342</t>
  </si>
  <si>
    <t>Выплаты за негативное воздействие окружающей среды (экологический налог)</t>
  </si>
  <si>
    <t>290004</t>
  </si>
  <si>
    <t>Расходы по увеличению строительных материалов</t>
  </si>
  <si>
    <t>344099</t>
  </si>
  <si>
    <t>Прочие налоги, в т.ч.госпошлины (за исключением налогов по школьным автобусам)</t>
  </si>
  <si>
    <t>290005</t>
  </si>
  <si>
    <t>343   "Увеличение стоимости горюче-смазочных материалов"</t>
  </si>
  <si>
    <t>Приобретение (изготовление) подарочной и сувенирной продукции  (поздравительные открытки, адреса, почетные грамоты, дипломы, благодарственные письма, цветы, сувенирная продукция, медали, кубки, призы, подарки)</t>
  </si>
  <si>
    <t>ГСМ</t>
  </si>
  <si>
    <t>340001</t>
  </si>
  <si>
    <t>343</t>
  </si>
  <si>
    <t>Налог на имущество</t>
  </si>
  <si>
    <t>Моторные масла и спец.смазки</t>
  </si>
  <si>
    <t>340015</t>
  </si>
  <si>
    <t>Транспортный налог</t>
  </si>
  <si>
    <t xml:space="preserve">Прочие расходы  </t>
  </si>
  <si>
    <t>290099</t>
  </si>
  <si>
    <t>Поступление нефинансовых активов, всего:</t>
  </si>
  <si>
    <t>Увеличение стоимости основных средств, всего:</t>
  </si>
  <si>
    <t>Закупка запчастей к оборудованию</t>
  </si>
  <si>
    <t>340003</t>
  </si>
  <si>
    <t>Приобретение автоматизированных рабочих мест, транспортно-коммуникационного оборудования, серверного, периферийного и т.п. оборудования</t>
  </si>
  <si>
    <t>Закупка запчастей к транспортным средствам</t>
  </si>
  <si>
    <t>340013</t>
  </si>
  <si>
    <t>Проибретение основных средств (оборудование, мебель, транспортные средства,техника, инструменты, хозинвентарь,книги ит.д.)</t>
  </si>
  <si>
    <t>310099</t>
  </si>
  <si>
    <t>Приобретение автошин</t>
  </si>
  <si>
    <t>340014</t>
  </si>
  <si>
    <t>Увеличение стоимости материальных запасов, всего:</t>
  </si>
  <si>
    <t>341 "Увеличение стоимости лекарственных препаратов, применяемых в мед.целях"</t>
  </si>
  <si>
    <t>Закупка медикаментов, перевязочных средств (расходных материалов)</t>
  </si>
  <si>
    <t>342 "Увеличение стоимости продуктов питания"</t>
  </si>
  <si>
    <t>Продукты питания (за исключением молоко и молочных продуктов)</t>
  </si>
  <si>
    <t>Закупка молока и молочных продуктов</t>
  </si>
  <si>
    <t>291 "Налоги, пошлины и сборы"</t>
  </si>
  <si>
    <t>343 "Увеличение стоимости горюче-смазочных материалов"</t>
  </si>
  <si>
    <t>291</t>
  </si>
  <si>
    <t>343001</t>
  </si>
  <si>
    <t>ГСМ, связанные с командировочными расходы</t>
  </si>
  <si>
    <t>343011</t>
  </si>
  <si>
    <t>343015</t>
  </si>
  <si>
    <t>345 "Закупка мягкого инвентаря, одежды, обмундирования</t>
  </si>
  <si>
    <t xml:space="preserve"> "Закупка мягкого инвентаря, одежды, обмундирования</t>
  </si>
  <si>
    <t>345002</t>
  </si>
  <si>
    <t>Итого учтено ассигнований</t>
  </si>
  <si>
    <t>Итого учтено лимитов</t>
  </si>
  <si>
    <t xml:space="preserve">Закупка запчастей к оборудованию </t>
  </si>
  <si>
    <t>346003</t>
  </si>
  <si>
    <t>Объем недоведенных лимитов</t>
  </si>
  <si>
    <t xml:space="preserve">Закупка материалов, используемых в процессе обучения </t>
  </si>
  <si>
    <t>346004</t>
  </si>
  <si>
    <t xml:space="preserve">Ассигнования </t>
  </si>
  <si>
    <t>Лимиты</t>
  </si>
  <si>
    <t>346013</t>
  </si>
  <si>
    <t>средства РТ</t>
  </si>
  <si>
    <t>346014</t>
  </si>
  <si>
    <t>средства бюджета города</t>
  </si>
  <si>
    <t>Приобретение хоз.товаров для бассейна</t>
  </si>
  <si>
    <t>346017</t>
  </si>
  <si>
    <t>род.плата</t>
  </si>
  <si>
    <t>Приобретение канцелярских, хозяйственных товаров</t>
  </si>
  <si>
    <t>Итого</t>
  </si>
  <si>
    <t>Прочие расходы по увеличению ст-ти материальных запасов (Ассигнования)</t>
  </si>
  <si>
    <t>346098</t>
  </si>
  <si>
    <t>псс</t>
  </si>
  <si>
    <t>346099</t>
  </si>
  <si>
    <t>349 "Увеличение стоимости прочих материальных запасов обнократного применения"</t>
  </si>
  <si>
    <t>Приобретение(изготовление)подарочной и сувенирной продукции (поздравительные открытки, адреса, почетные грамоты , дипломы, благодарственные письма, цветы, сувенирная продукция, медали, кубки, призы, подарки)</t>
  </si>
  <si>
    <t>Прочие расходы по увеличению стоимости прочих материальных запасов однократного применения</t>
  </si>
  <si>
    <t>352 "Увеличение стоимости неисключительных прав на результаты интеллектуальной деятельности с неопределенным сроком полезного использования"</t>
  </si>
  <si>
    <t>Прочие расходы по увеличению стоимости права пользования</t>
  </si>
  <si>
    <t>352099</t>
  </si>
  <si>
    <t>353 "Увеличение стоимости неисключительных прав на результаты интеллектуальной деятельности с определенным сроком полезного использования"</t>
  </si>
  <si>
    <t>Приобретение и обновление справочно-информационных баз данных</t>
  </si>
  <si>
    <t>ИТОГО РАСХОДОВ: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</si>
</sst>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-* #,##0.00_р_._-;\-* #,##0.00_р_._-;_-* &quot;-&quot;??_р_._-;_-@_-"/>
    <numFmt numFmtId="164" formatCode="0.0"/>
    <numFmt numFmtId="165" formatCode="0.000"/>
    <numFmt numFmtId="166" formatCode="0.0000"/>
    <numFmt numFmtId="167" formatCode="0.00000"/>
    <numFmt numFmtId="168" formatCode="#,##0.0"/>
    <numFmt numFmtId="169" formatCode="0.000000"/>
  </numFmts>
  <fonts count="47" x14ac:knownFonts="1">
    <font>
      <sz val="10"/>
      <name val="Arial Cyr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2"/>
      <name val="Arial"/>
      <family val="2"/>
      <charset val="204"/>
    </font>
    <font>
      <sz val="10"/>
      <name val="Arial Cyr"/>
      <charset val="204"/>
    </font>
    <font>
      <sz val="10"/>
      <color indexed="8"/>
      <name val="Tahoma"/>
      <family val="2"/>
      <charset val="204"/>
    </font>
    <font>
      <sz val="12"/>
      <color indexed="8"/>
      <name val="Times New Roman"/>
      <family val="2"/>
      <charset val="204"/>
    </font>
    <font>
      <b/>
      <sz val="10"/>
      <name val="Tahoma"/>
      <family val="2"/>
      <charset val="204"/>
    </font>
    <font>
      <b/>
      <sz val="10"/>
      <color indexed="8"/>
      <name val="Tahoma"/>
      <family val="2"/>
      <charset val="204"/>
    </font>
    <font>
      <b/>
      <sz val="14"/>
      <name val="Arial Cyr"/>
      <charset val="204"/>
    </font>
    <font>
      <sz val="14"/>
      <name val="Arial Cyr"/>
      <charset val="204"/>
    </font>
    <font>
      <sz val="11"/>
      <name val="Arial"/>
      <family val="2"/>
      <charset val="204"/>
    </font>
    <font>
      <sz val="11"/>
      <color indexed="9"/>
      <name val="Arial"/>
      <family val="2"/>
      <charset val="204"/>
    </font>
    <font>
      <sz val="13"/>
      <name val="Arial"/>
      <family val="2"/>
      <charset val="204"/>
    </font>
    <font>
      <sz val="12"/>
      <name val="Arial"/>
      <family val="2"/>
      <charset val="204"/>
    </font>
    <font>
      <sz val="10"/>
      <name val="Tahoma"/>
      <family val="2"/>
      <charset val="204"/>
    </font>
    <font>
      <sz val="12"/>
      <color theme="1"/>
      <name val="Times New Roman"/>
      <family val="2"/>
      <charset val="204"/>
    </font>
    <font>
      <i/>
      <sz val="10"/>
      <color indexed="8"/>
      <name val="Tahoma"/>
      <family val="2"/>
      <charset val="204"/>
    </font>
    <font>
      <sz val="12"/>
      <color indexed="8"/>
      <name val="Times New Roman"/>
      <family val="2"/>
    </font>
    <font>
      <sz val="9"/>
      <color indexed="8"/>
      <name val="Tahoma"/>
      <family val="2"/>
    </font>
    <font>
      <b/>
      <sz val="14"/>
      <name val="Arial Cyr"/>
      <family val="2"/>
      <charset val="204"/>
    </font>
    <font>
      <b/>
      <sz val="14"/>
      <name val="Arial"/>
      <family val="2"/>
    </font>
    <font>
      <b/>
      <sz val="11"/>
      <name val="Arial"/>
      <family val="2"/>
      <charset val="204"/>
    </font>
    <font>
      <b/>
      <sz val="10"/>
      <name val="Arial"/>
      <family val="2"/>
      <charset val="204"/>
    </font>
    <font>
      <sz val="10"/>
      <name val="Arial Cyr"/>
      <family val="2"/>
      <charset val="204"/>
    </font>
    <font>
      <sz val="1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sz val="10"/>
      <color indexed="9"/>
      <name val="Arial Cyr"/>
      <family val="2"/>
      <charset val="204"/>
    </font>
    <font>
      <i/>
      <sz val="11"/>
      <name val="Arial Cyr"/>
      <family val="2"/>
      <charset val="204"/>
    </font>
    <font>
      <i/>
      <sz val="11"/>
      <name val="Arial"/>
      <family val="2"/>
      <charset val="204"/>
    </font>
    <font>
      <b/>
      <i/>
      <sz val="11"/>
      <name val="Arial"/>
      <family val="2"/>
    </font>
    <font>
      <sz val="10"/>
      <color indexed="9"/>
      <name val="Arial"/>
      <family val="2"/>
      <charset val="204"/>
    </font>
    <font>
      <sz val="10"/>
      <color theme="0"/>
      <name val="Arial Cyr"/>
      <family val="2"/>
      <charset val="204"/>
    </font>
    <font>
      <b/>
      <i/>
      <sz val="11"/>
      <name val="Arial"/>
      <family val="2"/>
      <charset val="204"/>
    </font>
    <font>
      <b/>
      <i/>
      <sz val="11"/>
      <name val="Arial Cyr"/>
      <family val="2"/>
      <charset val="204"/>
    </font>
    <font>
      <sz val="11"/>
      <color indexed="8"/>
      <name val="Times New Roman"/>
      <family val="2"/>
      <charset val="204"/>
    </font>
    <font>
      <b/>
      <sz val="11"/>
      <color indexed="8"/>
      <name val="Arial"/>
      <family val="2"/>
      <charset val="204"/>
    </font>
    <font>
      <sz val="11"/>
      <color indexed="8"/>
      <name val="Arial"/>
      <family val="2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indexed="8"/>
      <name val="Tahoma"/>
      <family val="2"/>
    </font>
    <font>
      <sz val="11"/>
      <name val="Calibri"/>
      <family val="2"/>
      <charset val="204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 Cyr"/>
    </font>
    <font>
      <sz val="10"/>
      <name val="Tahoma"/>
      <family val="2"/>
    </font>
  </fonts>
  <fills count="19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dashed">
        <color indexed="64"/>
      </top>
      <bottom/>
      <diagonal/>
    </border>
    <border>
      <left style="medium">
        <color indexed="64"/>
      </left>
      <right/>
      <top/>
      <bottom style="dashed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</borders>
  <cellStyleXfs count="156">
    <xf numFmtId="0" fontId="0" fillId="0" borderId="0"/>
    <xf numFmtId="43" fontId="4" fillId="0" borderId="0" applyFont="0" applyFill="0" applyBorder="0" applyAlignment="0" applyProtection="0"/>
    <xf numFmtId="0" fontId="1" fillId="0" borderId="0"/>
    <xf numFmtId="0" fontId="6" fillId="0" borderId="0"/>
    <xf numFmtId="0" fontId="16" fillId="0" borderId="0"/>
    <xf numFmtId="0" fontId="18" fillId="0" borderId="0"/>
    <xf numFmtId="0" fontId="4" fillId="0" borderId="0"/>
    <xf numFmtId="0" fontId="26" fillId="0" borderId="0"/>
    <xf numFmtId="0" fontId="4" fillId="0" borderId="0"/>
    <xf numFmtId="0" fontId="41" fillId="0" borderId="2">
      <alignment vertical="center" wrapText="1"/>
    </xf>
    <xf numFmtId="0" fontId="15" fillId="0" borderId="2">
      <alignment vertical="center" wrapText="1"/>
    </xf>
    <xf numFmtId="0" fontId="42" fillId="0" borderId="0"/>
    <xf numFmtId="0" fontId="4" fillId="0" borderId="0"/>
    <xf numFmtId="0" fontId="43" fillId="0" borderId="0"/>
    <xf numFmtId="0" fontId="15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4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26" fillId="0" borderId="0"/>
    <xf numFmtId="0" fontId="15" fillId="0" borderId="0"/>
    <xf numFmtId="0" fontId="26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5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1" fillId="0" borderId="0"/>
    <xf numFmtId="0" fontId="4" fillId="0" borderId="0"/>
    <xf numFmtId="0" fontId="1" fillId="0" borderId="0"/>
    <xf numFmtId="0" fontId="15" fillId="0" borderId="0"/>
    <xf numFmtId="0" fontId="46" fillId="0" borderId="0"/>
    <xf numFmtId="0" fontId="44" fillId="0" borderId="0"/>
    <xf numFmtId="0" fontId="15" fillId="0" borderId="0"/>
  </cellStyleXfs>
  <cellXfs count="405">
    <xf numFmtId="0" fontId="0" fillId="0" borderId="0" xfId="0"/>
    <xf numFmtId="0" fontId="2" fillId="0" borderId="1" xfId="2" applyFont="1" applyFill="1" applyBorder="1" applyAlignment="1" applyProtection="1">
      <alignment horizontal="center" vertical="center" wrapText="1"/>
      <protection locked="0"/>
    </xf>
    <xf numFmtId="0" fontId="1" fillId="0" borderId="0" xfId="2" applyFont="1" applyFill="1" applyBorder="1" applyAlignment="1" applyProtection="1">
      <alignment vertical="top"/>
      <protection locked="0"/>
    </xf>
    <xf numFmtId="0" fontId="3" fillId="2" borderId="0" xfId="2" applyFont="1" applyFill="1" applyBorder="1" applyAlignment="1" applyProtection="1">
      <alignment horizontal="justify" vertical="center"/>
      <protection locked="0"/>
    </xf>
    <xf numFmtId="0" fontId="1" fillId="0" borderId="0" xfId="2" applyFont="1" applyFill="1" applyBorder="1" applyAlignment="1" applyProtection="1">
      <alignment horizontal="center" vertical="top"/>
      <protection locked="0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top"/>
    </xf>
    <xf numFmtId="0" fontId="5" fillId="0" borderId="0" xfId="0" applyFont="1" applyFill="1" applyBorder="1"/>
    <xf numFmtId="0" fontId="2" fillId="0" borderId="3" xfId="2" applyFont="1" applyFill="1" applyBorder="1" applyAlignment="1" applyProtection="1">
      <alignment horizontal="center" vertical="center" wrapText="1"/>
      <protection locked="0"/>
    </xf>
    <xf numFmtId="0" fontId="8" fillId="3" borderId="0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center"/>
    </xf>
    <xf numFmtId="0" fontId="1" fillId="0" borderId="2" xfId="2" applyFont="1" applyFill="1" applyBorder="1" applyAlignment="1" applyProtection="1">
      <alignment horizontal="center" vertical="top"/>
      <protection locked="0"/>
    </xf>
    <xf numFmtId="0" fontId="0" fillId="0" borderId="0" xfId="0" applyBorder="1"/>
    <xf numFmtId="0" fontId="7" fillId="0" borderId="0" xfId="0" applyFont="1"/>
    <xf numFmtId="0" fontId="5" fillId="0" borderId="0" xfId="0" applyFont="1"/>
    <xf numFmtId="0" fontId="10" fillId="0" borderId="5" xfId="0" applyFont="1" applyFill="1" applyBorder="1" applyAlignment="1">
      <alignment horizontal="right"/>
    </xf>
    <xf numFmtId="0" fontId="1" fillId="0" borderId="6" xfId="2" applyFont="1" applyFill="1" applyBorder="1" applyAlignment="1" applyProtection="1">
      <alignment horizontal="center" vertical="top"/>
      <protection locked="0"/>
    </xf>
    <xf numFmtId="0" fontId="11" fillId="2" borderId="2" xfId="2" applyFont="1" applyFill="1" applyBorder="1" applyAlignment="1" applyProtection="1">
      <alignment horizontal="center" vertical="top"/>
      <protection locked="0"/>
    </xf>
    <xf numFmtId="0" fontId="12" fillId="2" borderId="0" xfId="2" applyFont="1" applyFill="1" applyBorder="1" applyAlignment="1" applyProtection="1">
      <alignment horizontal="center" vertical="top"/>
      <protection locked="0"/>
    </xf>
    <xf numFmtId="0" fontId="14" fillId="4" borderId="2" xfId="2" applyFont="1" applyFill="1" applyBorder="1" applyAlignment="1" applyProtection="1">
      <alignment horizontal="center" vertical="top"/>
      <protection locked="0"/>
    </xf>
    <xf numFmtId="2" fontId="12" fillId="2" borderId="0" xfId="2" applyNumberFormat="1" applyFont="1" applyFill="1" applyBorder="1" applyAlignment="1" applyProtection="1">
      <alignment horizontal="center" vertical="top"/>
      <protection locked="0"/>
    </xf>
    <xf numFmtId="0" fontId="15" fillId="0" borderId="0" xfId="0" applyFont="1"/>
    <xf numFmtId="4" fontId="5" fillId="0" borderId="0" xfId="0" applyNumberFormat="1" applyFont="1"/>
    <xf numFmtId="0" fontId="11" fillId="0" borderId="0" xfId="2" applyFont="1" applyFill="1" applyBorder="1" applyAlignment="1" applyProtection="1">
      <alignment vertical="top"/>
      <protection locked="0"/>
    </xf>
    <xf numFmtId="0" fontId="11" fillId="0" borderId="0" xfId="2" applyFont="1" applyFill="1" applyBorder="1" applyAlignment="1" applyProtection="1">
      <alignment horizontal="center" vertical="top"/>
      <protection locked="0"/>
    </xf>
    <xf numFmtId="0" fontId="11" fillId="2" borderId="0" xfId="2" applyFont="1" applyFill="1" applyBorder="1" applyAlignment="1" applyProtection="1">
      <alignment horizontal="center" vertical="top"/>
      <protection locked="0"/>
    </xf>
    <xf numFmtId="0" fontId="5" fillId="0" borderId="2" xfId="3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right"/>
    </xf>
    <xf numFmtId="0" fontId="1" fillId="0" borderId="10" xfId="2" applyFont="1" applyFill="1" applyBorder="1" applyAlignment="1" applyProtection="1">
      <alignment horizontal="center" vertical="top"/>
      <protection locked="0"/>
    </xf>
    <xf numFmtId="0" fontId="11" fillId="2" borderId="8" xfId="2" applyFont="1" applyFill="1" applyBorder="1" applyAlignment="1" applyProtection="1">
      <alignment horizontal="center" vertical="top"/>
      <protection locked="0"/>
    </xf>
    <xf numFmtId="0" fontId="20" fillId="5" borderId="12" xfId="0" applyFont="1" applyFill="1" applyBorder="1" applyAlignment="1">
      <alignment horizontal="right"/>
    </xf>
    <xf numFmtId="0" fontId="21" fillId="5" borderId="13" xfId="2" applyFont="1" applyFill="1" applyBorder="1" applyAlignment="1" applyProtection="1">
      <alignment horizontal="center" vertical="top"/>
      <protection locked="0"/>
    </xf>
    <xf numFmtId="0" fontId="2" fillId="6" borderId="5" xfId="2" applyFont="1" applyFill="1" applyBorder="1" applyAlignment="1" applyProtection="1">
      <alignment horizontal="center" vertical="top" wrapText="1"/>
      <protection locked="0"/>
    </xf>
    <xf numFmtId="2" fontId="21" fillId="0" borderId="10" xfId="2" applyNumberFormat="1" applyFont="1" applyFill="1" applyBorder="1" applyAlignment="1" applyProtection="1">
      <alignment horizontal="center" vertical="center"/>
      <protection locked="0"/>
    </xf>
    <xf numFmtId="0" fontId="2" fillId="6" borderId="2" xfId="0" applyFont="1" applyFill="1" applyBorder="1" applyAlignment="1" applyProtection="1">
      <alignment horizontal="center" vertical="top" wrapText="1"/>
      <protection locked="0"/>
    </xf>
    <xf numFmtId="0" fontId="5" fillId="0" borderId="2" xfId="0" applyFont="1" applyFill="1" applyBorder="1" applyAlignment="1">
      <alignment horizontal="center" vertical="center"/>
    </xf>
    <xf numFmtId="49" fontId="5" fillId="0" borderId="2" xfId="3" applyNumberFormat="1" applyFont="1" applyFill="1" applyBorder="1" applyAlignment="1">
      <alignment horizontal="center" vertical="center" wrapText="1"/>
    </xf>
    <xf numFmtId="0" fontId="22" fillId="0" borderId="5" xfId="2" applyFont="1" applyFill="1" applyBorder="1" applyAlignment="1" applyProtection="1">
      <alignment horizontal="center" vertical="top" wrapText="1"/>
      <protection locked="0"/>
    </xf>
    <xf numFmtId="2" fontId="21" fillId="0" borderId="4" xfId="2" applyNumberFormat="1" applyFont="1" applyFill="1" applyBorder="1" applyAlignment="1" applyProtection="1">
      <alignment horizontal="center" vertical="center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49" fontId="5" fillId="0" borderId="2" xfId="3" applyNumberFormat="1" applyFont="1" applyFill="1" applyBorder="1" applyAlignment="1">
      <alignment horizontal="center" vertical="top" wrapText="1"/>
    </xf>
    <xf numFmtId="0" fontId="3" fillId="2" borderId="5" xfId="2" applyFont="1" applyFill="1" applyBorder="1" applyAlignment="1" applyProtection="1">
      <alignment horizontal="justify" vertical="top" wrapText="1"/>
    </xf>
    <xf numFmtId="0" fontId="3" fillId="2" borderId="19" xfId="0" applyFont="1" applyFill="1" applyBorder="1" applyAlignment="1" applyProtection="1">
      <alignment horizontal="center" vertical="center"/>
    </xf>
    <xf numFmtId="0" fontId="22" fillId="2" borderId="5" xfId="0" applyFont="1" applyFill="1" applyBorder="1" applyAlignment="1" applyProtection="1">
      <alignment horizontal="center" vertical="top"/>
    </xf>
    <xf numFmtId="0" fontId="22" fillId="2" borderId="20" xfId="0" applyFont="1" applyFill="1" applyBorder="1" applyAlignment="1" applyProtection="1">
      <alignment horizontal="center" vertical="top"/>
    </xf>
    <xf numFmtId="0" fontId="23" fillId="2" borderId="2" xfId="0" applyFont="1" applyFill="1" applyBorder="1" applyAlignment="1" applyProtection="1">
      <alignment horizontal="center" vertical="top"/>
    </xf>
    <xf numFmtId="2" fontId="22" fillId="2" borderId="15" xfId="0" applyNumberFormat="1" applyFont="1" applyFill="1" applyBorder="1" applyAlignment="1" applyProtection="1">
      <alignment horizontal="center" vertical="center" wrapText="1"/>
    </xf>
    <xf numFmtId="0" fontId="3" fillId="7" borderId="5" xfId="2" applyFont="1" applyFill="1" applyBorder="1" applyAlignment="1" applyProtection="1">
      <alignment horizontal="justify" vertical="top" wrapText="1"/>
    </xf>
    <xf numFmtId="0" fontId="3" fillId="7" borderId="19" xfId="0" applyFont="1" applyFill="1" applyBorder="1" applyAlignment="1" applyProtection="1">
      <alignment horizontal="center" vertical="top"/>
    </xf>
    <xf numFmtId="0" fontId="22" fillId="7" borderId="5" xfId="0" applyFont="1" applyFill="1" applyBorder="1" applyAlignment="1" applyProtection="1">
      <alignment horizontal="center" vertical="top"/>
    </xf>
    <xf numFmtId="0" fontId="22" fillId="7" borderId="20" xfId="0" applyFont="1" applyFill="1" applyBorder="1" applyAlignment="1" applyProtection="1">
      <alignment horizontal="center" vertical="top"/>
    </xf>
    <xf numFmtId="0" fontId="23" fillId="7" borderId="2" xfId="0" applyFont="1" applyFill="1" applyBorder="1" applyAlignment="1" applyProtection="1">
      <alignment horizontal="center" vertical="top"/>
    </xf>
    <xf numFmtId="2" fontId="22" fillId="7" borderId="2" xfId="0" applyNumberFormat="1" applyFont="1" applyFill="1" applyBorder="1" applyAlignment="1" applyProtection="1">
      <alignment horizontal="center" vertical="center" wrapText="1"/>
    </xf>
    <xf numFmtId="4" fontId="5" fillId="0" borderId="2" xfId="3" applyNumberFormat="1" applyFont="1" applyFill="1" applyBorder="1" applyAlignment="1">
      <alignment horizontal="center" vertical="center" wrapText="1"/>
    </xf>
    <xf numFmtId="49" fontId="11" fillId="2" borderId="21" xfId="0" applyNumberFormat="1" applyFont="1" applyFill="1" applyBorder="1" applyAlignment="1">
      <alignment horizontal="justify" vertical="top" wrapText="1"/>
    </xf>
    <xf numFmtId="0" fontId="14" fillId="0" borderId="2" xfId="0" applyFont="1" applyFill="1" applyBorder="1" applyAlignment="1" applyProtection="1">
      <alignment horizontal="center" vertical="top"/>
      <protection locked="0"/>
    </xf>
    <xf numFmtId="49" fontId="11" fillId="0" borderId="20" xfId="0" applyNumberFormat="1" applyFont="1" applyFill="1" applyBorder="1" applyAlignment="1">
      <alignment horizontal="center" vertical="top" wrapText="1"/>
    </xf>
    <xf numFmtId="0" fontId="1" fillId="0" borderId="2" xfId="0" applyFont="1" applyFill="1" applyBorder="1" applyAlignment="1" applyProtection="1">
      <alignment horizontal="center" vertical="top"/>
      <protection locked="0"/>
    </xf>
    <xf numFmtId="0" fontId="24" fillId="0" borderId="2" xfId="6" applyFont="1" applyBorder="1" applyAlignment="1">
      <alignment horizontal="center" vertical="center"/>
    </xf>
    <xf numFmtId="0" fontId="24" fillId="0" borderId="6" xfId="6" applyFont="1" applyBorder="1" applyAlignment="1">
      <alignment horizontal="center" vertical="center"/>
    </xf>
    <xf numFmtId="2" fontId="1" fillId="0" borderId="2" xfId="0" applyNumberFormat="1" applyFont="1" applyFill="1" applyBorder="1" applyAlignment="1" applyProtection="1">
      <alignment horizontal="center" vertical="center"/>
    </xf>
    <xf numFmtId="49" fontId="5" fillId="0" borderId="2" xfId="3" applyNumberFormat="1" applyFont="1" applyFill="1" applyBorder="1" applyAlignment="1">
      <alignment horizontal="left" vertical="top" wrapText="1"/>
    </xf>
    <xf numFmtId="4" fontId="5" fillId="4" borderId="2" xfId="3" applyNumberFormat="1" applyFont="1" applyFill="1" applyBorder="1" applyAlignment="1">
      <alignment horizontal="center" vertical="center" wrapText="1"/>
    </xf>
    <xf numFmtId="4" fontId="5" fillId="0" borderId="2" xfId="3" applyNumberFormat="1" applyFont="1" applyFill="1" applyBorder="1" applyAlignment="1">
      <alignment horizontal="right" vertical="center" wrapText="1"/>
    </xf>
    <xf numFmtId="4" fontId="5" fillId="8" borderId="2" xfId="3" applyNumberFormat="1" applyFont="1" applyFill="1" applyBorder="1" applyAlignment="1">
      <alignment horizontal="center" vertical="center" wrapText="1"/>
    </xf>
    <xf numFmtId="4" fontId="15" fillId="8" borderId="2" xfId="3" applyNumberFormat="1" applyFont="1" applyFill="1" applyBorder="1" applyAlignment="1">
      <alignment horizontal="center" vertical="center" wrapText="1"/>
    </xf>
    <xf numFmtId="0" fontId="3" fillId="7" borderId="21" xfId="2" applyFont="1" applyFill="1" applyBorder="1" applyAlignment="1" applyProtection="1">
      <alignment horizontal="justify" vertical="top" wrapText="1"/>
    </xf>
    <xf numFmtId="0" fontId="3" fillId="7" borderId="2" xfId="0" applyFont="1" applyFill="1" applyBorder="1" applyAlignment="1" applyProtection="1">
      <alignment horizontal="center" vertical="top"/>
    </xf>
    <xf numFmtId="0" fontId="11" fillId="0" borderId="2" xfId="0" applyFont="1" applyFill="1" applyBorder="1" applyAlignment="1" applyProtection="1">
      <alignment horizontal="center" vertical="top"/>
      <protection locked="0"/>
    </xf>
    <xf numFmtId="0" fontId="5" fillId="0" borderId="2" xfId="3" applyNumberFormat="1" applyFont="1" applyFill="1" applyBorder="1" applyAlignment="1">
      <alignment horizontal="right" vertical="center" wrapText="1"/>
    </xf>
    <xf numFmtId="0" fontId="5" fillId="9" borderId="2" xfId="0" applyFont="1" applyFill="1" applyBorder="1" applyAlignment="1">
      <alignment horizontal="center" vertical="center"/>
    </xf>
    <xf numFmtId="49" fontId="5" fillId="9" borderId="2" xfId="3" applyNumberFormat="1" applyFont="1" applyFill="1" applyBorder="1" applyAlignment="1">
      <alignment horizontal="left" vertical="top" wrapText="1"/>
    </xf>
    <xf numFmtId="0" fontId="5" fillId="9" borderId="2" xfId="3" applyFont="1" applyFill="1" applyBorder="1" applyAlignment="1">
      <alignment horizontal="center" vertical="center" wrapText="1"/>
    </xf>
    <xf numFmtId="4" fontId="5" fillId="9" borderId="2" xfId="3" applyNumberFormat="1" applyFont="1" applyFill="1" applyBorder="1" applyAlignment="1">
      <alignment horizontal="right" vertical="center" wrapText="1"/>
    </xf>
    <xf numFmtId="0" fontId="11" fillId="0" borderId="6" xfId="0" applyFont="1" applyFill="1" applyBorder="1" applyAlignment="1" applyProtection="1">
      <alignment horizontal="center" vertical="top"/>
      <protection locked="0"/>
    </xf>
    <xf numFmtId="49" fontId="11" fillId="0" borderId="17" xfId="0" applyNumberFormat="1" applyFont="1" applyFill="1" applyBorder="1" applyAlignment="1">
      <alignment horizontal="center" vertical="top" wrapText="1"/>
    </xf>
    <xf numFmtId="0" fontId="5" fillId="10" borderId="2" xfId="0" applyFont="1" applyFill="1" applyBorder="1" applyAlignment="1">
      <alignment horizontal="center" vertical="center"/>
    </xf>
    <xf numFmtId="49" fontId="5" fillId="10" borderId="2" xfId="3" applyNumberFormat="1" applyFont="1" applyFill="1" applyBorder="1" applyAlignment="1">
      <alignment horizontal="left" vertical="top" wrapText="1"/>
    </xf>
    <xf numFmtId="0" fontId="5" fillId="10" borderId="2" xfId="3" applyFont="1" applyFill="1" applyBorder="1" applyAlignment="1">
      <alignment horizontal="center" vertical="center" wrapText="1"/>
    </xf>
    <xf numFmtId="4" fontId="5" fillId="10" borderId="2" xfId="3" applyNumberFormat="1" applyFont="1" applyFill="1" applyBorder="1" applyAlignment="1">
      <alignment horizontal="right" vertical="center" wrapText="1"/>
    </xf>
    <xf numFmtId="4" fontId="5" fillId="8" borderId="2" xfId="3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 applyProtection="1">
      <alignment horizontal="center" vertical="top"/>
    </xf>
    <xf numFmtId="0" fontId="22" fillId="2" borderId="2" xfId="0" applyFont="1" applyFill="1" applyBorder="1" applyAlignment="1" applyProtection="1">
      <alignment horizontal="center" vertical="top"/>
    </xf>
    <xf numFmtId="2" fontId="22" fillId="2" borderId="2" xfId="0" applyNumberFormat="1" applyFont="1" applyFill="1" applyBorder="1" applyAlignment="1" applyProtection="1">
      <alignment horizontal="center" vertical="center" wrapText="1"/>
    </xf>
    <xf numFmtId="49" fontId="5" fillId="0" borderId="2" xfId="3" applyNumberFormat="1" applyFont="1" applyFill="1" applyBorder="1" applyAlignment="1">
      <alignment horizontal="center" wrapText="1"/>
    </xf>
    <xf numFmtId="49" fontId="5" fillId="0" borderId="2" xfId="3" applyNumberFormat="1" applyFont="1" applyFill="1" applyBorder="1" applyAlignment="1">
      <alignment horizontal="left" wrapText="1"/>
    </xf>
    <xf numFmtId="0" fontId="3" fillId="7" borderId="6" xfId="0" applyFont="1" applyFill="1" applyBorder="1" applyAlignment="1" applyProtection="1">
      <alignment horizontal="center" vertical="top"/>
    </xf>
    <xf numFmtId="0" fontId="22" fillId="7" borderId="2" xfId="0" applyFont="1" applyFill="1" applyBorder="1" applyAlignment="1" applyProtection="1">
      <alignment horizontal="center" vertical="top"/>
    </xf>
    <xf numFmtId="0" fontId="23" fillId="7" borderId="2" xfId="0" applyFont="1" applyFill="1" applyBorder="1" applyAlignment="1" applyProtection="1">
      <alignment horizontal="center" vertical="center"/>
    </xf>
    <xf numFmtId="0" fontId="14" fillId="0" borderId="6" xfId="0" applyFont="1" applyFill="1" applyBorder="1" applyAlignment="1" applyProtection="1">
      <alignment horizontal="center" vertical="top"/>
      <protection locked="0"/>
    </xf>
    <xf numFmtId="49" fontId="25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5" fillId="10" borderId="2" xfId="3" applyNumberFormat="1" applyFont="1" applyFill="1" applyBorder="1" applyAlignment="1"/>
    <xf numFmtId="49" fontId="5" fillId="10" borderId="2" xfId="3" applyNumberFormat="1" applyFont="1" applyFill="1" applyBorder="1" applyAlignment="1">
      <alignment horizontal="left" wrapText="1"/>
    </xf>
    <xf numFmtId="0" fontId="14" fillId="0" borderId="10" xfId="0" applyFont="1" applyFill="1" applyBorder="1" applyAlignment="1" applyProtection="1">
      <alignment horizontal="center" vertical="top"/>
      <protection locked="0"/>
    </xf>
    <xf numFmtId="0" fontId="5" fillId="4" borderId="2" xfId="0" applyFont="1" applyFill="1" applyBorder="1" applyAlignment="1">
      <alignment horizontal="center" vertical="center"/>
    </xf>
    <xf numFmtId="49" fontId="5" fillId="4" borderId="2" xfId="3" applyNumberFormat="1" applyFont="1" applyFill="1" applyBorder="1" applyAlignment="1">
      <alignment horizontal="left" vertical="top" wrapText="1"/>
    </xf>
    <xf numFmtId="49" fontId="5" fillId="4" borderId="2" xfId="3" applyNumberFormat="1" applyFont="1" applyFill="1" applyBorder="1" applyAlignment="1">
      <alignment horizontal="center" wrapText="1"/>
    </xf>
    <xf numFmtId="49" fontId="5" fillId="4" borderId="2" xfId="3" applyNumberFormat="1" applyFont="1" applyFill="1" applyBorder="1" applyAlignment="1">
      <alignment horizontal="left" wrapText="1"/>
    </xf>
    <xf numFmtId="4" fontId="5" fillId="4" borderId="2" xfId="3" applyNumberFormat="1" applyFont="1" applyFill="1" applyBorder="1" applyAlignment="1">
      <alignment horizontal="right" vertical="center" wrapText="1"/>
    </xf>
    <xf numFmtId="49" fontId="27" fillId="0" borderId="24" xfId="7" applyNumberFormat="1" applyFont="1" applyFill="1" applyBorder="1" applyAlignment="1">
      <alignment horizontal="left" wrapText="1"/>
    </xf>
    <xf numFmtId="49" fontId="27" fillId="0" borderId="20" xfId="7" applyNumberFormat="1" applyFont="1" applyFill="1" applyBorder="1" applyAlignment="1">
      <alignment horizontal="center" wrapText="1"/>
    </xf>
    <xf numFmtId="49" fontId="27" fillId="0" borderId="0" xfId="7" applyNumberFormat="1" applyFont="1" applyFill="1" applyBorder="1" applyAlignment="1">
      <alignment horizontal="center" wrapText="1"/>
    </xf>
    <xf numFmtId="49" fontId="1" fillId="0" borderId="2" xfId="0" applyNumberFormat="1" applyFont="1" applyFill="1" applyBorder="1" applyAlignment="1" applyProtection="1">
      <alignment horizontal="center" vertical="top" wrapText="1"/>
      <protection locked="0"/>
    </xf>
    <xf numFmtId="49" fontId="5" fillId="0" borderId="2" xfId="0" applyNumberFormat="1" applyFont="1" applyFill="1" applyBorder="1" applyAlignment="1" applyProtection="1">
      <alignment horizontal="left" vertical="top" wrapText="1"/>
    </xf>
    <xf numFmtId="49" fontId="27" fillId="0" borderId="21" xfId="7" applyNumberFormat="1" applyFont="1" applyFill="1" applyBorder="1" applyAlignment="1">
      <alignment horizontal="left" wrapText="1"/>
    </xf>
    <xf numFmtId="49" fontId="5" fillId="0" borderId="0" xfId="0" applyNumberFormat="1" applyFont="1" applyFill="1" applyAlignment="1">
      <alignment horizontal="left" vertical="top" wrapText="1"/>
    </xf>
    <xf numFmtId="49" fontId="27" fillId="0" borderId="25" xfId="7" applyNumberFormat="1" applyFont="1" applyFill="1" applyBorder="1" applyAlignment="1">
      <alignment horizontal="left" wrapText="1"/>
    </xf>
    <xf numFmtId="0" fontId="4" fillId="0" borderId="2" xfId="0" applyFont="1" applyFill="1" applyBorder="1" applyAlignment="1">
      <alignment horizontal="center" vertical="center"/>
    </xf>
    <xf numFmtId="164" fontId="4" fillId="0" borderId="15" xfId="0" applyNumberFormat="1" applyFont="1" applyFill="1" applyBorder="1" applyAlignment="1">
      <alignment horizontal="center" vertical="center"/>
    </xf>
    <xf numFmtId="164" fontId="4" fillId="0" borderId="2" xfId="0" applyNumberFormat="1" applyFont="1" applyFill="1" applyBorder="1" applyAlignment="1">
      <alignment horizontal="center" vertical="center"/>
    </xf>
    <xf numFmtId="4" fontId="5" fillId="3" borderId="2" xfId="3" applyNumberFormat="1" applyFont="1" applyFill="1" applyBorder="1" applyAlignment="1">
      <alignment horizontal="center" vertical="center" wrapText="1"/>
    </xf>
    <xf numFmtId="0" fontId="3" fillId="7" borderId="21" xfId="2" applyFont="1" applyFill="1" applyBorder="1" applyAlignment="1" applyProtection="1">
      <alignment horizontal="left" vertical="top" wrapText="1"/>
    </xf>
    <xf numFmtId="49" fontId="5" fillId="4" borderId="2" xfId="0" applyNumberFormat="1" applyFont="1" applyFill="1" applyBorder="1" applyAlignment="1" applyProtection="1">
      <alignment horizontal="left" vertical="top" wrapText="1"/>
    </xf>
    <xf numFmtId="49" fontId="5" fillId="4" borderId="2" xfId="0" applyNumberFormat="1" applyFont="1" applyFill="1" applyBorder="1" applyAlignment="1" applyProtection="1">
      <alignment horizontal="left" vertical="center" wrapText="1"/>
    </xf>
    <xf numFmtId="4" fontId="5" fillId="8" borderId="2" xfId="3" applyNumberFormat="1" applyFont="1" applyFill="1" applyBorder="1" applyAlignment="1">
      <alignment horizontal="right" vertical="center" wrapText="1"/>
    </xf>
    <xf numFmtId="0" fontId="11" fillId="0" borderId="21" xfId="2" applyFont="1" applyFill="1" applyBorder="1" applyAlignment="1" applyProtection="1">
      <alignment horizontal="left" vertical="top" wrapText="1"/>
      <protection locked="0"/>
    </xf>
    <xf numFmtId="0" fontId="11" fillId="0" borderId="20" xfId="0" applyFont="1" applyFill="1" applyBorder="1" applyAlignment="1" applyProtection="1">
      <alignment horizontal="center" vertical="top"/>
      <protection locked="0"/>
    </xf>
    <xf numFmtId="0" fontId="24" fillId="0" borderId="2" xfId="6" applyFont="1" applyBorder="1" applyAlignment="1">
      <alignment horizontal="center"/>
    </xf>
    <xf numFmtId="164" fontId="4" fillId="0" borderId="2" xfId="0" applyNumberFormat="1" applyFont="1" applyBorder="1" applyAlignment="1">
      <alignment horizontal="center" vertical="center"/>
    </xf>
    <xf numFmtId="0" fontId="5" fillId="4" borderId="2" xfId="3" applyFont="1" applyFill="1" applyBorder="1" applyAlignment="1">
      <alignment horizontal="center" vertical="center" wrapText="1"/>
    </xf>
    <xf numFmtId="0" fontId="5" fillId="4" borderId="2" xfId="3" applyFont="1" applyFill="1" applyBorder="1" applyAlignment="1">
      <alignment horizontal="left" vertical="center" wrapText="1"/>
    </xf>
    <xf numFmtId="49" fontId="5" fillId="0" borderId="2" xfId="3" applyNumberFormat="1" applyFont="1" applyFill="1" applyBorder="1" applyAlignment="1">
      <alignment horizontal="left" vertical="center" wrapText="1"/>
    </xf>
    <xf numFmtId="4" fontId="5" fillId="0" borderId="2" xfId="3" applyNumberFormat="1" applyFont="1" applyFill="1" applyBorder="1" applyAlignment="1">
      <alignment horizontal="right"/>
    </xf>
    <xf numFmtId="0" fontId="28" fillId="0" borderId="2" xfId="6" applyFont="1" applyBorder="1" applyAlignment="1">
      <alignment horizontal="center" vertical="center"/>
    </xf>
    <xf numFmtId="0" fontId="28" fillId="0" borderId="6" xfId="6" applyFont="1" applyBorder="1" applyAlignment="1">
      <alignment horizontal="center" vertical="center"/>
    </xf>
    <xf numFmtId="0" fontId="22" fillId="7" borderId="26" xfId="0" applyFont="1" applyFill="1" applyBorder="1" applyAlignment="1" applyProtection="1">
      <alignment horizontal="center" vertical="top"/>
    </xf>
    <xf numFmtId="2" fontId="1" fillId="11" borderId="2" xfId="0" applyNumberFormat="1" applyFont="1" applyFill="1" applyBorder="1" applyAlignment="1" applyProtection="1">
      <alignment horizontal="center" vertical="center"/>
    </xf>
    <xf numFmtId="2" fontId="1" fillId="12" borderId="2" xfId="0" applyNumberFormat="1" applyFont="1" applyFill="1" applyBorder="1" applyAlignment="1" applyProtection="1">
      <alignment horizontal="center" vertical="center"/>
    </xf>
    <xf numFmtId="0" fontId="29" fillId="0" borderId="21" xfId="6" applyFont="1" applyFill="1" applyBorder="1" applyAlignment="1">
      <alignment horizontal="left" vertical="center"/>
    </xf>
    <xf numFmtId="4" fontId="24" fillId="0" borderId="2" xfId="6" applyNumberFormat="1" applyFont="1" applyBorder="1" applyAlignment="1">
      <alignment horizontal="center" vertical="center"/>
    </xf>
    <xf numFmtId="2" fontId="24" fillId="0" borderId="6" xfId="6" applyNumberFormat="1" applyFont="1" applyBorder="1" applyAlignment="1">
      <alignment horizontal="center" vertical="center"/>
    </xf>
    <xf numFmtId="4" fontId="1" fillId="11" borderId="2" xfId="0" applyNumberFormat="1" applyFont="1" applyFill="1" applyBorder="1" applyAlignment="1" applyProtection="1">
      <alignment horizontal="center" vertical="center"/>
    </xf>
    <xf numFmtId="0" fontId="22" fillId="6" borderId="21" xfId="2" applyFont="1" applyFill="1" applyBorder="1" applyAlignment="1" applyProtection="1">
      <alignment horizontal="left" vertical="top" wrapText="1"/>
      <protection locked="0"/>
    </xf>
    <xf numFmtId="0" fontId="14" fillId="6" borderId="2" xfId="0" applyFont="1" applyFill="1" applyBorder="1" applyAlignment="1" applyProtection="1">
      <alignment horizontal="center" vertical="top"/>
      <protection locked="0"/>
    </xf>
    <xf numFmtId="0" fontId="11" fillId="6" borderId="20" xfId="0" applyFont="1" applyFill="1" applyBorder="1" applyAlignment="1" applyProtection="1">
      <alignment horizontal="center" vertical="top"/>
      <protection locked="0"/>
    </xf>
    <xf numFmtId="0" fontId="1" fillId="6" borderId="2" xfId="0" applyFont="1" applyFill="1" applyBorder="1" applyAlignment="1" applyProtection="1">
      <alignment horizontal="center" vertical="top"/>
      <protection locked="0"/>
    </xf>
    <xf numFmtId="2" fontId="1" fillId="6" borderId="2" xfId="0" applyNumberFormat="1" applyFont="1" applyFill="1" applyBorder="1" applyAlignment="1" applyProtection="1">
      <alignment horizontal="center" vertical="center" wrapText="1"/>
      <protection locked="0"/>
    </xf>
    <xf numFmtId="4" fontId="5" fillId="0" borderId="2" xfId="3" applyNumberFormat="1" applyFont="1" applyFill="1" applyBorder="1" applyAlignment="1">
      <alignment horizontal="center" vertical="center"/>
    </xf>
    <xf numFmtId="49" fontId="30" fillId="0" borderId="21" xfId="0" applyNumberFormat="1" applyFont="1" applyFill="1" applyBorder="1" applyAlignment="1">
      <alignment horizontal="left" vertical="top" wrapText="1"/>
    </xf>
    <xf numFmtId="4" fontId="1" fillId="0" borderId="2" xfId="0" applyNumberFormat="1" applyFont="1" applyBorder="1" applyAlignment="1">
      <alignment horizontal="center" vertical="center" wrapText="1"/>
    </xf>
    <xf numFmtId="2" fontId="1" fillId="3" borderId="2" xfId="0" applyNumberFormat="1" applyFont="1" applyFill="1" applyBorder="1" applyAlignment="1" applyProtection="1">
      <alignment horizontal="center" vertical="center"/>
    </xf>
    <xf numFmtId="0" fontId="5" fillId="9" borderId="2" xfId="3" applyFont="1" applyFill="1" applyBorder="1" applyAlignment="1">
      <alignment horizontal="left" vertical="center" wrapText="1"/>
    </xf>
    <xf numFmtId="4" fontId="24" fillId="0" borderId="2" xfId="6" applyNumberFormat="1" applyFont="1" applyBorder="1" applyAlignment="1">
      <alignment horizontal="center"/>
    </xf>
    <xf numFmtId="4" fontId="5" fillId="0" borderId="2" xfId="3" applyNumberFormat="1" applyFont="1" applyFill="1" applyBorder="1" applyAlignment="1"/>
    <xf numFmtId="4" fontId="5" fillId="0" borderId="2" xfId="3" applyNumberFormat="1" applyFont="1" applyFill="1" applyBorder="1" applyAlignment="1">
      <alignment horizontal="left"/>
    </xf>
    <xf numFmtId="4" fontId="5" fillId="8" borderId="2" xfId="3" applyNumberFormat="1" applyFont="1" applyFill="1" applyBorder="1" applyAlignment="1">
      <alignment horizontal="center"/>
    </xf>
    <xf numFmtId="4" fontId="5" fillId="10" borderId="2" xfId="3" applyNumberFormat="1" applyFont="1" applyFill="1" applyBorder="1" applyAlignment="1">
      <alignment horizontal="left"/>
    </xf>
    <xf numFmtId="4" fontId="5" fillId="10" borderId="2" xfId="3" applyNumberFormat="1" applyFont="1" applyFill="1" applyBorder="1" applyAlignment="1">
      <alignment horizontal="right"/>
    </xf>
    <xf numFmtId="49" fontId="30" fillId="0" borderId="21" xfId="0" applyNumberFormat="1" applyFont="1" applyFill="1" applyBorder="1" applyAlignment="1">
      <alignment horizontal="left" vertical="center" wrapText="1"/>
    </xf>
    <xf numFmtId="0" fontId="24" fillId="0" borderId="2" xfId="6" applyFont="1" applyFill="1" applyBorder="1" applyAlignment="1">
      <alignment horizontal="center" vertical="center"/>
    </xf>
    <xf numFmtId="4" fontId="5" fillId="0" borderId="2" xfId="3" applyNumberFormat="1" applyFont="1" applyFill="1" applyBorder="1" applyAlignment="1">
      <alignment horizontal="center"/>
    </xf>
    <xf numFmtId="0" fontId="22" fillId="6" borderId="21" xfId="0" applyFont="1" applyFill="1" applyBorder="1" applyAlignment="1" applyProtection="1">
      <alignment horizontal="left" vertical="top" wrapText="1"/>
      <protection locked="0"/>
    </xf>
    <xf numFmtId="2" fontId="1" fillId="6" borderId="8" xfId="0" applyNumberFormat="1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/>
    <xf numFmtId="49" fontId="31" fillId="5" borderId="21" xfId="0" applyNumberFormat="1" applyFont="1" applyFill="1" applyBorder="1" applyAlignment="1">
      <alignment horizontal="left" vertical="center" wrapText="1"/>
    </xf>
    <xf numFmtId="0" fontId="14" fillId="5" borderId="2" xfId="0" applyFont="1" applyFill="1" applyBorder="1" applyAlignment="1" applyProtection="1">
      <alignment horizontal="center" vertical="top"/>
      <protection locked="0"/>
    </xf>
    <xf numFmtId="0" fontId="11" fillId="5" borderId="20" xfId="0" applyFont="1" applyFill="1" applyBorder="1" applyAlignment="1" applyProtection="1">
      <alignment horizontal="center" vertical="top"/>
      <protection locked="0"/>
    </xf>
    <xf numFmtId="0" fontId="1" fillId="5" borderId="2" xfId="0" applyFont="1" applyFill="1" applyBorder="1" applyAlignment="1" applyProtection="1">
      <alignment horizontal="center" vertical="top"/>
      <protection locked="0"/>
    </xf>
    <xf numFmtId="0" fontId="1" fillId="5" borderId="6" xfId="0" applyFont="1" applyFill="1" applyBorder="1" applyAlignment="1" applyProtection="1">
      <alignment horizontal="center" vertical="top"/>
      <protection locked="0"/>
    </xf>
    <xf numFmtId="2" fontId="1" fillId="5" borderId="2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20" xfId="0" applyFont="1" applyFill="1" applyBorder="1" applyAlignment="1" applyProtection="1">
      <alignment horizontal="center" vertical="top"/>
      <protection locked="0"/>
    </xf>
    <xf numFmtId="0" fontId="28" fillId="0" borderId="2" xfId="6" applyFont="1" applyBorder="1" applyAlignment="1">
      <alignment horizontal="center" vertical="center" wrapText="1"/>
    </xf>
    <xf numFmtId="0" fontId="28" fillId="0" borderId="2" xfId="6" applyFont="1" applyBorder="1" applyAlignment="1">
      <alignment horizontal="center"/>
    </xf>
    <xf numFmtId="2" fontId="28" fillId="0" borderId="6" xfId="6" applyNumberFormat="1" applyFont="1" applyBorder="1" applyAlignment="1">
      <alignment horizontal="center" vertical="center"/>
    </xf>
    <xf numFmtId="2" fontId="32" fillId="3" borderId="2" xfId="0" applyNumberFormat="1" applyFont="1" applyFill="1" applyBorder="1" applyAlignment="1" applyProtection="1">
      <alignment horizontal="center" vertical="center"/>
    </xf>
    <xf numFmtId="0" fontId="33" fillId="12" borderId="2" xfId="6" applyFont="1" applyFill="1" applyBorder="1" applyAlignment="1">
      <alignment horizontal="center" vertical="center"/>
    </xf>
    <xf numFmtId="0" fontId="33" fillId="12" borderId="2" xfId="6" applyFont="1" applyFill="1" applyBorder="1" applyAlignment="1">
      <alignment horizontal="center"/>
    </xf>
    <xf numFmtId="4" fontId="33" fillId="12" borderId="2" xfId="6" applyNumberFormat="1" applyFont="1" applyFill="1" applyBorder="1" applyAlignment="1">
      <alignment horizontal="center" vertical="center"/>
    </xf>
    <xf numFmtId="4" fontId="1" fillId="12" borderId="2" xfId="0" applyNumberFormat="1" applyFont="1" applyFill="1" applyBorder="1" applyAlignment="1" applyProtection="1">
      <alignment horizontal="center" vertical="center"/>
    </xf>
    <xf numFmtId="0" fontId="1" fillId="0" borderId="6" xfId="0" applyFont="1" applyFill="1" applyBorder="1" applyAlignment="1" applyProtection="1">
      <alignment horizontal="center" vertical="top"/>
      <protection locked="0"/>
    </xf>
    <xf numFmtId="4" fontId="5" fillId="0" borderId="2" xfId="3" applyNumberFormat="1" applyFont="1" applyFill="1" applyBorder="1" applyAlignment="1">
      <alignment horizontal="right" wrapText="1"/>
    </xf>
    <xf numFmtId="0" fontId="24" fillId="0" borderId="2" xfId="6" applyFont="1" applyFill="1" applyBorder="1" applyAlignment="1">
      <alignment horizontal="center"/>
    </xf>
    <xf numFmtId="49" fontId="34" fillId="5" borderId="21" xfId="0" applyNumberFormat="1" applyFont="1" applyFill="1" applyBorder="1" applyAlignment="1">
      <alignment horizontal="left" vertical="center" wrapText="1"/>
    </xf>
    <xf numFmtId="0" fontId="1" fillId="11" borderId="2" xfId="0" applyFont="1" applyFill="1" applyBorder="1" applyAlignment="1" applyProtection="1">
      <alignment horizontal="center" vertical="top"/>
      <protection locked="0"/>
    </xf>
    <xf numFmtId="0" fontId="5" fillId="13" borderId="2" xfId="0" applyFont="1" applyFill="1" applyBorder="1" applyAlignment="1">
      <alignment horizontal="center" vertical="center"/>
    </xf>
    <xf numFmtId="49" fontId="5" fillId="13" borderId="2" xfId="3" applyNumberFormat="1" applyFont="1" applyFill="1" applyBorder="1" applyAlignment="1">
      <alignment horizontal="left" vertical="top" wrapText="1"/>
    </xf>
    <xf numFmtId="4" fontId="5" fillId="13" borderId="2" xfId="3" applyNumberFormat="1" applyFont="1" applyFill="1" applyBorder="1" applyAlignment="1"/>
    <xf numFmtId="4" fontId="5" fillId="13" borderId="2" xfId="3" applyNumberFormat="1" applyFont="1" applyFill="1" applyBorder="1" applyAlignment="1">
      <alignment horizontal="left"/>
    </xf>
    <xf numFmtId="4" fontId="5" fillId="13" borderId="2" xfId="3" applyNumberFormat="1" applyFont="1" applyFill="1" applyBorder="1" applyAlignment="1">
      <alignment horizontal="right"/>
    </xf>
    <xf numFmtId="49" fontId="35" fillId="5" borderId="21" xfId="0" applyNumberFormat="1" applyFont="1" applyFill="1" applyBorder="1" applyAlignment="1">
      <alignment horizontal="left" vertical="center" wrapText="1"/>
    </xf>
    <xf numFmtId="0" fontId="24" fillId="0" borderId="2" xfId="6" applyFont="1" applyBorder="1" applyAlignment="1">
      <alignment horizontal="center" vertical="center" wrapText="1"/>
    </xf>
    <xf numFmtId="164" fontId="24" fillId="0" borderId="2" xfId="6" applyNumberFormat="1" applyFont="1" applyBorder="1" applyAlignment="1">
      <alignment horizontal="center" vertical="center"/>
    </xf>
    <xf numFmtId="0" fontId="34" fillId="5" borderId="21" xfId="0" applyFont="1" applyFill="1" applyBorder="1" applyAlignment="1">
      <alignment horizontal="left" vertical="center" wrapText="1"/>
    </xf>
    <xf numFmtId="2" fontId="1" fillId="5" borderId="2" xfId="0" applyNumberFormat="1" applyFont="1" applyFill="1" applyBorder="1" applyAlignment="1" applyProtection="1">
      <alignment horizontal="center" vertical="center"/>
    </xf>
    <xf numFmtId="4" fontId="5" fillId="0" borderId="2" xfId="3" applyNumberFormat="1" applyFont="1" applyFill="1" applyBorder="1" applyAlignment="1">
      <alignment horizontal="center" wrapText="1"/>
    </xf>
    <xf numFmtId="0" fontId="11" fillId="6" borderId="20" xfId="0" applyFont="1" applyFill="1" applyBorder="1" applyAlignment="1" applyProtection="1">
      <alignment horizontal="left" vertical="top"/>
      <protection locked="0"/>
    </xf>
    <xf numFmtId="0" fontId="11" fillId="0" borderId="20" xfId="0" applyFont="1" applyFill="1" applyBorder="1" applyAlignment="1" applyProtection="1">
      <alignment horizontal="left" vertical="top"/>
      <protection locked="0"/>
    </xf>
    <xf numFmtId="4" fontId="1" fillId="0" borderId="2" xfId="0" applyNumberFormat="1" applyFont="1" applyFill="1" applyBorder="1" applyAlignment="1" applyProtection="1">
      <alignment horizontal="justify" vertical="center"/>
      <protection locked="0"/>
    </xf>
    <xf numFmtId="0" fontId="24" fillId="0" borderId="2" xfId="8" applyFont="1" applyBorder="1" applyAlignment="1">
      <alignment horizontal="center" vertical="center"/>
    </xf>
    <xf numFmtId="165" fontId="24" fillId="0" borderId="2" xfId="8" applyNumberFormat="1" applyFont="1" applyBorder="1" applyAlignment="1">
      <alignment horizontal="center" vertical="center"/>
    </xf>
    <xf numFmtId="2" fontId="24" fillId="0" borderId="2" xfId="8" applyNumberFormat="1" applyFont="1" applyBorder="1" applyAlignment="1">
      <alignment horizontal="center" vertical="center"/>
    </xf>
    <xf numFmtId="0" fontId="22" fillId="0" borderId="21" xfId="2" applyFont="1" applyFill="1" applyBorder="1" applyAlignment="1" applyProtection="1">
      <alignment horizontal="left" vertical="top" wrapText="1"/>
      <protection locked="0"/>
    </xf>
    <xf numFmtId="0" fontId="22" fillId="3" borderId="21" xfId="2" applyFont="1" applyFill="1" applyBorder="1" applyAlignment="1" applyProtection="1">
      <alignment horizontal="left" vertical="top" wrapText="1"/>
      <protection locked="0"/>
    </xf>
    <xf numFmtId="0" fontId="14" fillId="3" borderId="2" xfId="0" applyFont="1" applyFill="1" applyBorder="1" applyAlignment="1" applyProtection="1">
      <alignment horizontal="center" vertical="top"/>
      <protection locked="0"/>
    </xf>
    <xf numFmtId="0" fontId="11" fillId="3" borderId="20" xfId="0" applyFont="1" applyFill="1" applyBorder="1" applyAlignment="1" applyProtection="1">
      <alignment horizontal="left" vertical="top"/>
      <protection locked="0"/>
    </xf>
    <xf numFmtId="0" fontId="11" fillId="3" borderId="20" xfId="0" applyFont="1" applyFill="1" applyBorder="1" applyAlignment="1" applyProtection="1">
      <alignment horizontal="center" vertical="top"/>
      <protection locked="0"/>
    </xf>
    <xf numFmtId="0" fontId="1" fillId="3" borderId="2" xfId="0" applyFont="1" applyFill="1" applyBorder="1" applyAlignment="1" applyProtection="1">
      <alignment horizontal="center" vertical="top"/>
      <protection locked="0"/>
    </xf>
    <xf numFmtId="2" fontId="1" fillId="11" borderId="8" xfId="0" applyNumberFormat="1" applyFont="1" applyFill="1" applyBorder="1" applyAlignment="1" applyProtection="1">
      <alignment horizontal="center" vertical="center" wrapText="1"/>
      <protection locked="0"/>
    </xf>
    <xf numFmtId="49" fontId="5" fillId="14" borderId="2" xfId="3" applyNumberFormat="1" applyFont="1" applyFill="1" applyBorder="1" applyAlignment="1">
      <alignment horizontal="left" vertical="top" wrapText="1"/>
    </xf>
    <xf numFmtId="4" fontId="5" fillId="14" borderId="2" xfId="3" applyNumberFormat="1" applyFont="1" applyFill="1" applyBorder="1" applyAlignment="1"/>
    <xf numFmtId="4" fontId="5" fillId="14" borderId="2" xfId="3" applyNumberFormat="1" applyFont="1" applyFill="1" applyBorder="1" applyAlignment="1">
      <alignment horizontal="left"/>
    </xf>
    <xf numFmtId="4" fontId="5" fillId="14" borderId="2" xfId="3" applyNumberFormat="1" applyFont="1" applyFill="1" applyBorder="1" applyAlignment="1">
      <alignment horizontal="right"/>
    </xf>
    <xf numFmtId="0" fontId="11" fillId="6" borderId="20" xfId="0" applyFont="1" applyFill="1" applyBorder="1" applyAlignment="1" applyProtection="1">
      <alignment horizontal="left"/>
      <protection locked="0"/>
    </xf>
    <xf numFmtId="0" fontId="1" fillId="6" borderId="2" xfId="0" applyFont="1" applyFill="1" applyBorder="1" applyAlignment="1" applyProtection="1">
      <alignment horizontal="center" vertical="center"/>
      <protection locked="0"/>
    </xf>
    <xf numFmtId="0" fontId="1" fillId="6" borderId="6" xfId="0" applyFont="1" applyFill="1" applyBorder="1" applyAlignment="1" applyProtection="1">
      <alignment horizontal="center" vertical="top"/>
      <protection locked="0"/>
    </xf>
    <xf numFmtId="2" fontId="1" fillId="15" borderId="2" xfId="0" applyNumberFormat="1" applyFont="1" applyFill="1" applyBorder="1" applyAlignment="1" applyProtection="1">
      <alignment horizontal="center" vertical="center" wrapText="1"/>
      <protection locked="0"/>
    </xf>
    <xf numFmtId="4" fontId="5" fillId="4" borderId="2" xfId="3" applyNumberFormat="1" applyFont="1" applyFill="1" applyBorder="1" applyAlignment="1"/>
    <xf numFmtId="4" fontId="5" fillId="4" borderId="2" xfId="3" applyNumberFormat="1" applyFont="1" applyFill="1" applyBorder="1" applyAlignment="1">
      <alignment horizontal="left"/>
    </xf>
    <xf numFmtId="4" fontId="5" fillId="4" borderId="2" xfId="3" applyNumberFormat="1" applyFont="1" applyFill="1" applyBorder="1" applyAlignment="1">
      <alignment horizontal="right"/>
    </xf>
    <xf numFmtId="4" fontId="5" fillId="4" borderId="2" xfId="3" applyNumberFormat="1" applyFont="1" applyFill="1" applyBorder="1" applyAlignment="1">
      <alignment horizontal="center"/>
    </xf>
    <xf numFmtId="0" fontId="22" fillId="6" borderId="27" xfId="2" applyFont="1" applyFill="1" applyBorder="1" applyAlignment="1" applyProtection="1">
      <alignment horizontal="left" vertical="top" wrapText="1"/>
      <protection locked="0"/>
    </xf>
    <xf numFmtId="2" fontId="1" fillId="6" borderId="15" xfId="0" applyNumberFormat="1" applyFont="1" applyFill="1" applyBorder="1" applyAlignment="1" applyProtection="1">
      <alignment horizontal="center" vertical="center" wrapText="1"/>
      <protection locked="0"/>
    </xf>
    <xf numFmtId="4" fontId="5" fillId="0" borderId="2" xfId="3" applyNumberFormat="1" applyFont="1" applyFill="1" applyBorder="1" applyAlignment="1">
      <alignment wrapText="1"/>
    </xf>
    <xf numFmtId="4" fontId="5" fillId="8" borderId="2" xfId="3" applyNumberFormat="1" applyFont="1" applyFill="1" applyBorder="1" applyAlignment="1">
      <alignment horizontal="center" wrapText="1"/>
    </xf>
    <xf numFmtId="49" fontId="27" fillId="6" borderId="28" xfId="7" applyNumberFormat="1" applyFont="1" applyFill="1" applyBorder="1" applyAlignment="1">
      <alignment horizontal="justify" vertical="top" wrapText="1"/>
    </xf>
    <xf numFmtId="2" fontId="1" fillId="6" borderId="2" xfId="0" applyNumberFormat="1" applyFont="1" applyFill="1" applyBorder="1" applyAlignment="1" applyProtection="1">
      <alignment horizontal="center" vertical="center"/>
    </xf>
    <xf numFmtId="0" fontId="30" fillId="0" borderId="21" xfId="2" applyFont="1" applyFill="1" applyBorder="1" applyAlignment="1" applyProtection="1">
      <alignment horizontal="left" vertical="top" wrapText="1"/>
      <protection locked="0"/>
    </xf>
    <xf numFmtId="2" fontId="1" fillId="16" borderId="2" xfId="0" applyNumberFormat="1" applyFont="1" applyFill="1" applyBorder="1" applyAlignment="1" applyProtection="1">
      <alignment horizontal="center" vertical="center"/>
    </xf>
    <xf numFmtId="166" fontId="24" fillId="0" borderId="2" xfId="6" applyNumberFormat="1" applyFont="1" applyBorder="1" applyAlignment="1">
      <alignment horizontal="center" vertical="center"/>
    </xf>
    <xf numFmtId="2" fontId="24" fillId="0" borderId="2" xfId="6" applyNumberFormat="1" applyFont="1" applyBorder="1" applyAlignment="1">
      <alignment horizontal="center" vertical="center"/>
    </xf>
    <xf numFmtId="2" fontId="1" fillId="15" borderId="2" xfId="0" applyNumberFormat="1" applyFont="1" applyFill="1" applyBorder="1" applyAlignment="1" applyProtection="1">
      <alignment horizontal="center" vertical="center"/>
    </xf>
    <xf numFmtId="0" fontId="5" fillId="0" borderId="2" xfId="3" applyFont="1" applyFill="1" applyBorder="1" applyAlignment="1">
      <alignment horizontal="left" vertical="top" wrapText="1"/>
    </xf>
    <xf numFmtId="4" fontId="17" fillId="8" borderId="2" xfId="3" applyNumberFormat="1" applyFont="1" applyFill="1" applyBorder="1" applyAlignment="1">
      <alignment horizontal="center"/>
    </xf>
    <xf numFmtId="4" fontId="17" fillId="0" borderId="2" xfId="3" applyNumberFormat="1" applyFont="1" applyFill="1" applyBorder="1" applyAlignment="1">
      <alignment horizontal="right"/>
    </xf>
    <xf numFmtId="4" fontId="17" fillId="0" borderId="2" xfId="3" applyNumberFormat="1" applyFont="1" applyFill="1" applyBorder="1" applyAlignment="1">
      <alignment horizontal="center"/>
    </xf>
    <xf numFmtId="4" fontId="5" fillId="0" borderId="2" xfId="0" applyNumberFormat="1" applyFont="1" applyFill="1" applyBorder="1" applyAlignment="1" applyProtection="1">
      <alignment horizontal="right" vertical="center" wrapText="1"/>
    </xf>
    <xf numFmtId="0" fontId="0" fillId="0" borderId="2" xfId="0" applyBorder="1"/>
    <xf numFmtId="0" fontId="11" fillId="0" borderId="2" xfId="0" applyFont="1" applyFill="1" applyBorder="1" applyAlignment="1" applyProtection="1">
      <alignment horizontal="left" vertical="top"/>
      <protection locked="0"/>
    </xf>
    <xf numFmtId="0" fontId="11" fillId="6" borderId="2" xfId="0" applyFont="1" applyFill="1" applyBorder="1" applyAlignment="1" applyProtection="1">
      <alignment horizontal="center" vertical="top"/>
      <protection locked="0"/>
    </xf>
    <xf numFmtId="0" fontId="11" fillId="6" borderId="2" xfId="0" applyFont="1" applyFill="1" applyBorder="1" applyAlignment="1" applyProtection="1">
      <alignment horizontal="left" vertical="top"/>
      <protection locked="0"/>
    </xf>
    <xf numFmtId="167" fontId="24" fillId="0" borderId="2" xfId="6" applyNumberFormat="1" applyFont="1" applyBorder="1" applyAlignment="1">
      <alignment horizontal="center" vertical="center"/>
    </xf>
    <xf numFmtId="0" fontId="30" fillId="0" borderId="21" xfId="0" applyFont="1" applyFill="1" applyBorder="1" applyAlignment="1">
      <alignment horizontal="left" vertical="center" wrapText="1"/>
    </xf>
    <xf numFmtId="0" fontId="14" fillId="12" borderId="2" xfId="0" applyFont="1" applyFill="1" applyBorder="1" applyAlignment="1" applyProtection="1">
      <alignment horizontal="center" vertical="top"/>
      <protection locked="0"/>
    </xf>
    <xf numFmtId="0" fontId="11" fillId="12" borderId="2" xfId="0" applyFont="1" applyFill="1" applyBorder="1" applyAlignment="1" applyProtection="1">
      <alignment horizontal="left" vertical="top"/>
      <protection locked="0"/>
    </xf>
    <xf numFmtId="0" fontId="11" fillId="12" borderId="20" xfId="0" applyFont="1" applyFill="1" applyBorder="1" applyAlignment="1" applyProtection="1">
      <alignment horizontal="center" vertical="top"/>
      <protection locked="0"/>
    </xf>
    <xf numFmtId="0" fontId="24" fillId="12" borderId="2" xfId="6" applyFont="1" applyFill="1" applyBorder="1" applyAlignment="1">
      <alignment horizontal="center" vertical="center"/>
    </xf>
    <xf numFmtId="167" fontId="24" fillId="12" borderId="2" xfId="6" applyNumberFormat="1" applyFont="1" applyFill="1" applyBorder="1" applyAlignment="1">
      <alignment horizontal="center" vertical="center"/>
    </xf>
    <xf numFmtId="0" fontId="24" fillId="12" borderId="6" xfId="6" applyFont="1" applyFill="1" applyBorder="1" applyAlignment="1">
      <alignment horizontal="center" vertical="center"/>
    </xf>
    <xf numFmtId="0" fontId="1" fillId="12" borderId="2" xfId="0" applyFont="1" applyFill="1" applyBorder="1" applyAlignment="1" applyProtection="1">
      <alignment horizontal="center" vertical="top"/>
      <protection locked="0"/>
    </xf>
    <xf numFmtId="2" fontId="0" fillId="12" borderId="0" xfId="0" applyNumberFormat="1" applyFill="1"/>
    <xf numFmtId="0" fontId="0" fillId="12" borderId="0" xfId="0" applyFill="1"/>
    <xf numFmtId="0" fontId="5" fillId="12" borderId="2" xfId="0" applyFont="1" applyFill="1" applyBorder="1" applyAlignment="1">
      <alignment horizontal="center" vertical="center"/>
    </xf>
    <xf numFmtId="49" fontId="5" fillId="12" borderId="2" xfId="3" applyNumberFormat="1" applyFont="1" applyFill="1" applyBorder="1" applyAlignment="1">
      <alignment horizontal="left" vertical="top" wrapText="1"/>
    </xf>
    <xf numFmtId="49" fontId="5" fillId="12" borderId="2" xfId="3" applyNumberFormat="1" applyFont="1" applyFill="1" applyBorder="1" applyAlignment="1">
      <alignment horizontal="center" wrapText="1"/>
    </xf>
    <xf numFmtId="49" fontId="5" fillId="12" borderId="2" xfId="3" applyNumberFormat="1" applyFont="1" applyFill="1" applyBorder="1" applyAlignment="1">
      <alignment horizontal="left" wrapText="1"/>
    </xf>
    <xf numFmtId="4" fontId="5" fillId="12" borderId="2" xfId="3" applyNumberFormat="1" applyFont="1" applyFill="1" applyBorder="1" applyAlignment="1">
      <alignment horizontal="right" vertical="center" wrapText="1"/>
    </xf>
    <xf numFmtId="4" fontId="5" fillId="12" borderId="2" xfId="3" applyNumberFormat="1" applyFont="1" applyFill="1" applyBorder="1" applyAlignment="1">
      <alignment horizontal="right"/>
    </xf>
    <xf numFmtId="4" fontId="5" fillId="12" borderId="2" xfId="3" applyNumberFormat="1" applyFont="1" applyFill="1" applyBorder="1" applyAlignment="1">
      <alignment horizontal="center" vertical="center" wrapText="1"/>
    </xf>
    <xf numFmtId="4" fontId="5" fillId="12" borderId="2" xfId="3" applyNumberFormat="1" applyFont="1" applyFill="1" applyBorder="1" applyAlignment="1">
      <alignment horizontal="center"/>
    </xf>
    <xf numFmtId="4" fontId="5" fillId="12" borderId="2" xfId="3" applyNumberFormat="1" applyFont="1" applyFill="1" applyBorder="1" applyAlignment="1">
      <alignment horizontal="right" wrapText="1"/>
    </xf>
    <xf numFmtId="4" fontId="5" fillId="12" borderId="2" xfId="3" applyNumberFormat="1" applyFont="1" applyFill="1" applyBorder="1" applyAlignment="1">
      <alignment horizontal="center" wrapText="1"/>
    </xf>
    <xf numFmtId="0" fontId="30" fillId="0" borderId="5" xfId="0" applyFont="1" applyFill="1" applyBorder="1" applyAlignment="1">
      <alignment horizontal="left" vertical="center" wrapText="1"/>
    </xf>
    <xf numFmtId="2" fontId="24" fillId="0" borderId="2" xfId="6" applyNumberFormat="1" applyFont="1" applyBorder="1" applyAlignment="1">
      <alignment horizontal="justify" vertical="center"/>
    </xf>
    <xf numFmtId="0" fontId="3" fillId="7" borderId="21" xfId="2" applyFont="1" applyFill="1" applyBorder="1" applyAlignment="1" applyProtection="1">
      <alignment horizontal="left" vertical="center" wrapText="1"/>
    </xf>
    <xf numFmtId="0" fontId="3" fillId="7" borderId="20" xfId="0" applyFont="1" applyFill="1" applyBorder="1" applyAlignment="1" applyProtection="1">
      <alignment horizontal="left" vertical="top"/>
    </xf>
    <xf numFmtId="0" fontId="3" fillId="7" borderId="20" xfId="0" applyFont="1" applyFill="1" applyBorder="1" applyAlignment="1" applyProtection="1">
      <alignment horizontal="center" vertical="top"/>
    </xf>
    <xf numFmtId="0" fontId="11" fillId="3" borderId="21" xfId="2" applyFont="1" applyFill="1" applyBorder="1" applyAlignment="1" applyProtection="1">
      <alignment horizontal="left" vertical="top" wrapText="1"/>
      <protection locked="0"/>
    </xf>
    <xf numFmtId="0" fontId="11" fillId="3" borderId="2" xfId="0" applyFont="1" applyFill="1" applyBorder="1" applyAlignment="1" applyProtection="1">
      <alignment horizontal="center" vertical="top"/>
      <protection locked="0"/>
    </xf>
    <xf numFmtId="0" fontId="1" fillId="15" borderId="2" xfId="0" applyFont="1" applyFill="1" applyBorder="1" applyAlignment="1" applyProtection="1">
      <alignment horizontal="center" vertical="top"/>
      <protection locked="0"/>
    </xf>
    <xf numFmtId="0" fontId="3" fillId="3" borderId="2" xfId="0" applyFont="1" applyFill="1" applyBorder="1" applyAlignment="1" applyProtection="1">
      <alignment horizontal="center" vertical="top"/>
    </xf>
    <xf numFmtId="0" fontId="11" fillId="0" borderId="5" xfId="2" applyFont="1" applyFill="1" applyBorder="1" applyAlignment="1" applyProtection="1">
      <alignment horizontal="left" vertical="top" wrapText="1"/>
      <protection locked="0"/>
    </xf>
    <xf numFmtId="0" fontId="11" fillId="6" borderId="21" xfId="2" applyFont="1" applyFill="1" applyBorder="1" applyAlignment="1" applyProtection="1">
      <alignment horizontal="left" vertical="top" wrapText="1"/>
      <protection locked="0"/>
    </xf>
    <xf numFmtId="49" fontId="5" fillId="17" borderId="2" xfId="3" applyNumberFormat="1" applyFont="1" applyFill="1" applyBorder="1" applyAlignment="1">
      <alignment horizontal="left" vertical="center" wrapText="1"/>
    </xf>
    <xf numFmtId="49" fontId="5" fillId="17" borderId="2" xfId="3" applyNumberFormat="1" applyFont="1" applyFill="1" applyBorder="1" applyAlignment="1">
      <alignment horizontal="center" vertical="center" wrapText="1"/>
    </xf>
    <xf numFmtId="49" fontId="5" fillId="17" borderId="2" xfId="3" applyNumberFormat="1" applyFont="1" applyFill="1" applyBorder="1" applyAlignment="1">
      <alignment horizontal="left" wrapText="1"/>
    </xf>
    <xf numFmtId="4" fontId="5" fillId="17" borderId="2" xfId="3" applyNumberFormat="1" applyFont="1" applyFill="1" applyBorder="1" applyAlignment="1">
      <alignment horizontal="right" vertical="center" wrapText="1"/>
    </xf>
    <xf numFmtId="4" fontId="5" fillId="17" borderId="2" xfId="3" applyNumberFormat="1" applyFont="1" applyFill="1" applyBorder="1" applyAlignment="1">
      <alignment horizontal="right"/>
    </xf>
    <xf numFmtId="4" fontId="5" fillId="17" borderId="2" xfId="3" applyNumberFormat="1" applyFont="1" applyFill="1" applyBorder="1" applyAlignment="1">
      <alignment horizontal="center" vertical="center" wrapText="1"/>
    </xf>
    <xf numFmtId="4" fontId="5" fillId="17" borderId="2" xfId="3" applyNumberFormat="1" applyFont="1" applyFill="1" applyBorder="1" applyAlignment="1">
      <alignment horizontal="center" vertical="center"/>
    </xf>
    <xf numFmtId="4" fontId="5" fillId="0" borderId="2" xfId="3" applyNumberFormat="1" applyFont="1" applyFill="1" applyBorder="1" applyAlignment="1">
      <alignment horizontal="right" vertical="center"/>
    </xf>
    <xf numFmtId="0" fontId="24" fillId="18" borderId="2" xfId="6" applyFont="1" applyFill="1" applyBorder="1" applyAlignment="1">
      <alignment horizontal="center" vertical="center"/>
    </xf>
    <xf numFmtId="0" fontId="11" fillId="0" borderId="17" xfId="0" applyFont="1" applyFill="1" applyBorder="1" applyAlignment="1" applyProtection="1">
      <alignment horizontal="center" vertical="top"/>
      <protection locked="0"/>
    </xf>
    <xf numFmtId="0" fontId="24" fillId="0" borderId="8" xfId="6" applyFont="1" applyBorder="1" applyAlignment="1">
      <alignment horizontal="center" vertical="center"/>
    </xf>
    <xf numFmtId="164" fontId="24" fillId="0" borderId="8" xfId="6" applyNumberFormat="1" applyFont="1" applyBorder="1" applyAlignment="1">
      <alignment horizontal="center" vertical="center"/>
    </xf>
    <xf numFmtId="0" fontId="1" fillId="0" borderId="8" xfId="0" applyFont="1" applyFill="1" applyBorder="1" applyAlignment="1" applyProtection="1">
      <alignment horizontal="center" vertical="top"/>
      <protection locked="0"/>
    </xf>
    <xf numFmtId="0" fontId="11" fillId="6" borderId="2" xfId="2" applyFont="1" applyFill="1" applyBorder="1" applyAlignment="1" applyProtection="1">
      <alignment horizontal="left" vertical="top" wrapText="1"/>
      <protection locked="0"/>
    </xf>
    <xf numFmtId="0" fontId="11" fillId="6" borderId="27" xfId="2" applyFont="1" applyFill="1" applyBorder="1" applyAlignment="1" applyProtection="1">
      <alignment horizontal="left" vertical="top" wrapText="1"/>
      <protection locked="0"/>
    </xf>
    <xf numFmtId="2" fontId="11" fillId="11" borderId="2" xfId="2" applyNumberFormat="1" applyFont="1" applyFill="1" applyBorder="1" applyAlignment="1" applyProtection="1">
      <alignment horizontal="center" vertical="center" wrapText="1"/>
      <protection locked="0"/>
    </xf>
    <xf numFmtId="4" fontId="5" fillId="4" borderId="2" xfId="3" applyNumberFormat="1" applyFont="1" applyFill="1" applyBorder="1" applyAlignment="1">
      <alignment horizontal="center" vertical="center"/>
    </xf>
    <xf numFmtId="0" fontId="11" fillId="6" borderId="20" xfId="0" applyFont="1" applyFill="1" applyBorder="1" applyAlignment="1" applyProtection="1">
      <alignment horizontal="left" vertical="center"/>
      <protection locked="0"/>
    </xf>
    <xf numFmtId="0" fontId="11" fillId="6" borderId="26" xfId="0" applyFont="1" applyFill="1" applyBorder="1" applyAlignment="1" applyProtection="1">
      <alignment horizontal="center" vertical="top"/>
      <protection locked="0"/>
    </xf>
    <xf numFmtId="0" fontId="1" fillId="6" borderId="15" xfId="0" applyFont="1" applyFill="1" applyBorder="1" applyAlignment="1" applyProtection="1">
      <alignment horizontal="center" vertical="top"/>
      <protection locked="0"/>
    </xf>
    <xf numFmtId="0" fontId="11" fillId="0" borderId="20" xfId="0" applyFont="1" applyFill="1" applyBorder="1" applyAlignment="1" applyProtection="1">
      <alignment horizontal="left" vertical="center"/>
      <protection locked="0"/>
    </xf>
    <xf numFmtId="0" fontId="24" fillId="0" borderId="2" xfId="6" applyNumberFormat="1" applyFont="1" applyBorder="1" applyAlignment="1">
      <alignment horizontal="center" vertical="center"/>
    </xf>
    <xf numFmtId="0" fontId="3" fillId="7" borderId="2" xfId="2" applyFont="1" applyFill="1" applyBorder="1" applyAlignment="1" applyProtection="1">
      <alignment horizontal="center" vertical="center" wrapText="1"/>
    </xf>
    <xf numFmtId="0" fontId="3" fillId="7" borderId="27" xfId="2" applyFont="1" applyFill="1" applyBorder="1" applyAlignment="1" applyProtection="1">
      <alignment horizontal="left" vertical="center" wrapText="1"/>
    </xf>
    <xf numFmtId="0" fontId="3" fillId="7" borderId="2" xfId="2" applyFont="1" applyFill="1" applyBorder="1" applyAlignment="1" applyProtection="1">
      <alignment horizontal="left" vertical="top" wrapText="1"/>
    </xf>
    <xf numFmtId="0" fontId="22" fillId="7" borderId="20" xfId="0" applyFont="1" applyFill="1" applyBorder="1" applyAlignment="1" applyProtection="1">
      <alignment horizontal="left" vertical="center"/>
    </xf>
    <xf numFmtId="0" fontId="24" fillId="3" borderId="2" xfId="6" applyFont="1" applyFill="1" applyBorder="1" applyAlignment="1">
      <alignment horizontal="center" vertical="center"/>
    </xf>
    <xf numFmtId="49" fontId="5" fillId="17" borderId="2" xfId="0" applyNumberFormat="1" applyFont="1" applyFill="1" applyBorder="1" applyAlignment="1" applyProtection="1">
      <alignment horizontal="left" vertical="top" wrapText="1"/>
    </xf>
    <xf numFmtId="49" fontId="5" fillId="17" borderId="2" xfId="3" applyNumberFormat="1" applyFont="1" applyFill="1" applyBorder="1" applyAlignment="1">
      <alignment horizontal="center" wrapText="1"/>
    </xf>
    <xf numFmtId="49" fontId="11" fillId="0" borderId="21" xfId="0" applyNumberFormat="1" applyFont="1" applyBorder="1" applyAlignment="1">
      <alignment horizontal="left" vertical="center" wrapText="1"/>
    </xf>
    <xf numFmtId="49" fontId="11" fillId="0" borderId="5" xfId="7" applyNumberFormat="1" applyFont="1" applyFill="1" applyBorder="1" applyAlignment="1">
      <alignment horizontal="left" vertical="center" wrapText="1"/>
    </xf>
    <xf numFmtId="0" fontId="14" fillId="0" borderId="15" xfId="0" applyFont="1" applyFill="1" applyBorder="1" applyAlignment="1" applyProtection="1">
      <alignment horizontal="center" vertical="top"/>
      <protection locked="0"/>
    </xf>
    <xf numFmtId="49" fontId="27" fillId="0" borderId="2" xfId="7" applyNumberFormat="1" applyFont="1" applyFill="1" applyBorder="1" applyAlignment="1">
      <alignment horizontal="left" vertical="center" wrapText="1"/>
    </xf>
    <xf numFmtId="49" fontId="27" fillId="0" borderId="2" xfId="7" applyNumberFormat="1" applyFont="1" applyFill="1" applyBorder="1" applyAlignment="1">
      <alignment horizontal="center" wrapText="1"/>
    </xf>
    <xf numFmtId="3" fontId="24" fillId="0" borderId="2" xfId="6" applyNumberFormat="1" applyFont="1" applyBorder="1" applyAlignment="1">
      <alignment horizontal="center" vertical="center"/>
    </xf>
    <xf numFmtId="49" fontId="36" fillId="0" borderId="2" xfId="0" applyNumberFormat="1" applyFont="1" applyBorder="1" applyAlignment="1">
      <alignment wrapText="1"/>
    </xf>
    <xf numFmtId="0" fontId="14" fillId="0" borderId="8" xfId="0" applyFont="1" applyFill="1" applyBorder="1" applyAlignment="1" applyProtection="1">
      <alignment horizontal="center" vertical="top"/>
      <protection locked="0"/>
    </xf>
    <xf numFmtId="4" fontId="1" fillId="12" borderId="2" xfId="0" applyNumberFormat="1" applyFont="1" applyFill="1" applyBorder="1" applyAlignment="1" applyProtection="1">
      <alignment horizontal="center" vertical="top"/>
    </xf>
    <xf numFmtId="49" fontId="11" fillId="0" borderId="21" xfId="7" applyNumberFormat="1" applyFont="1" applyFill="1" applyBorder="1" applyAlignment="1">
      <alignment horizontal="justify" vertical="center" wrapText="1"/>
    </xf>
    <xf numFmtId="49" fontId="27" fillId="0" borderId="20" xfId="7" applyNumberFormat="1" applyFont="1" applyFill="1" applyBorder="1" applyAlignment="1">
      <alignment horizontal="left" vertical="center" wrapText="1"/>
    </xf>
    <xf numFmtId="49" fontId="27" fillId="0" borderId="2" xfId="7" applyNumberFormat="1" applyFont="1" applyFill="1" applyBorder="1" applyAlignment="1">
      <alignment horizontal="center" vertical="center" wrapText="1"/>
    </xf>
    <xf numFmtId="168" fontId="24" fillId="0" borderId="2" xfId="6" applyNumberFormat="1" applyFon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" fillId="0" borderId="2" xfId="0" applyFont="1" applyFill="1" applyBorder="1" applyAlignment="1" applyProtection="1">
      <alignment horizontal="center" vertical="center"/>
      <protection locked="0"/>
    </xf>
    <xf numFmtId="2" fontId="23" fillId="7" borderId="2" xfId="0" applyNumberFormat="1" applyFont="1" applyFill="1" applyBorder="1" applyAlignment="1" applyProtection="1">
      <alignment horizontal="center" vertical="top"/>
    </xf>
    <xf numFmtId="49" fontId="37" fillId="7" borderId="6" xfId="0" applyNumberFormat="1" applyFont="1" applyFill="1" applyBorder="1" applyAlignment="1">
      <alignment wrapText="1"/>
    </xf>
    <xf numFmtId="49" fontId="38" fillId="0" borderId="6" xfId="0" applyNumberFormat="1" applyFont="1" applyBorder="1" applyAlignment="1">
      <alignment wrapText="1"/>
    </xf>
    <xf numFmtId="0" fontId="11" fillId="3" borderId="20" xfId="0" applyFont="1" applyFill="1" applyBorder="1" applyAlignment="1" applyProtection="1">
      <alignment horizontal="left" vertical="center"/>
    </xf>
    <xf numFmtId="0" fontId="22" fillId="3" borderId="20" xfId="0" applyFont="1" applyFill="1" applyBorder="1" applyAlignment="1" applyProtection="1">
      <alignment horizontal="center" vertical="top"/>
    </xf>
    <xf numFmtId="169" fontId="0" fillId="0" borderId="2" xfId="0" applyNumberFormat="1" applyBorder="1" applyAlignment="1">
      <alignment horizontal="center" vertical="center"/>
    </xf>
    <xf numFmtId="0" fontId="23" fillId="3" borderId="2" xfId="0" applyFont="1" applyFill="1" applyBorder="1" applyAlignment="1" applyProtection="1">
      <alignment horizontal="center" vertical="top"/>
    </xf>
    <xf numFmtId="4" fontId="1" fillId="15" borderId="2" xfId="0" applyNumberFormat="1" applyFont="1" applyFill="1" applyBorder="1" applyAlignment="1" applyProtection="1">
      <alignment horizontal="center" vertical="center"/>
    </xf>
    <xf numFmtId="49" fontId="37" fillId="7" borderId="2" xfId="0" applyNumberFormat="1" applyFont="1" applyFill="1" applyBorder="1" applyAlignment="1">
      <alignment wrapText="1"/>
    </xf>
    <xf numFmtId="49" fontId="37" fillId="7" borderId="20" xfId="0" applyNumberFormat="1" applyFont="1" applyFill="1" applyBorder="1" applyAlignment="1">
      <alignment horizontal="left" vertical="center" wrapText="1"/>
    </xf>
    <xf numFmtId="2" fontId="37" fillId="7" borderId="2" xfId="0" applyNumberFormat="1" applyFont="1" applyFill="1" applyBorder="1" applyAlignment="1">
      <alignment wrapText="1"/>
    </xf>
    <xf numFmtId="2" fontId="23" fillId="3" borderId="2" xfId="0" applyNumberFormat="1" applyFont="1" applyFill="1" applyBorder="1" applyAlignment="1" applyProtection="1">
      <alignment horizontal="center" vertical="top"/>
    </xf>
    <xf numFmtId="49" fontId="11" fillId="0" borderId="20" xfId="3" applyNumberFormat="1" applyFont="1" applyFill="1" applyBorder="1" applyAlignment="1">
      <alignment horizontal="left" vertical="center" wrapText="1"/>
    </xf>
    <xf numFmtId="2" fontId="22" fillId="3" borderId="2" xfId="0" applyNumberFormat="1" applyFont="1" applyFill="1" applyBorder="1" applyAlignment="1" applyProtection="1">
      <alignment horizontal="center" vertical="center" wrapText="1"/>
    </xf>
    <xf numFmtId="49" fontId="11" fillId="0" borderId="20" xfId="0" applyNumberFormat="1" applyFont="1" applyFill="1" applyBorder="1" applyAlignment="1" applyProtection="1">
      <alignment horizontal="center" vertical="top" wrapText="1"/>
      <protection locked="0"/>
    </xf>
    <xf numFmtId="3" fontId="28" fillId="0" borderId="2" xfId="6" applyNumberFormat="1" applyFont="1" applyBorder="1" applyAlignment="1">
      <alignment horizontal="center" vertical="center"/>
    </xf>
    <xf numFmtId="2" fontId="28" fillId="0" borderId="2" xfId="6" applyNumberFormat="1" applyFont="1" applyBorder="1" applyAlignment="1">
      <alignment horizontal="center" vertical="center"/>
    </xf>
    <xf numFmtId="0" fontId="5" fillId="0" borderId="2" xfId="3" applyFont="1" applyFill="1" applyBorder="1" applyAlignment="1">
      <alignment horizontal="center" vertical="center"/>
    </xf>
    <xf numFmtId="0" fontId="5" fillId="0" borderId="2" xfId="3" applyFont="1" applyFill="1" applyBorder="1" applyAlignment="1">
      <alignment horizontal="left" vertical="center"/>
    </xf>
    <xf numFmtId="49" fontId="22" fillId="7" borderId="6" xfId="3" applyNumberFormat="1" applyFont="1" applyFill="1" applyBorder="1" applyAlignment="1">
      <alignment horizontal="left" wrapText="1"/>
    </xf>
    <xf numFmtId="49" fontId="11" fillId="0" borderId="6" xfId="3" applyNumberFormat="1" applyFont="1" applyFill="1" applyBorder="1" applyAlignment="1">
      <alignment horizontal="left" wrapText="1"/>
    </xf>
    <xf numFmtId="49" fontId="11" fillId="0" borderId="20" xfId="0" applyNumberFormat="1" applyFont="1" applyFill="1" applyBorder="1" applyAlignment="1" applyProtection="1">
      <alignment horizontal="left" vertical="center" wrapText="1"/>
      <protection locked="0"/>
    </xf>
    <xf numFmtId="0" fontId="5" fillId="0" borderId="2" xfId="3" applyFont="1" applyFill="1" applyBorder="1"/>
    <xf numFmtId="4" fontId="5" fillId="0" borderId="2" xfId="3" applyNumberFormat="1" applyFont="1" applyFill="1" applyBorder="1"/>
    <xf numFmtId="0" fontId="37" fillId="7" borderId="2" xfId="1" applyNumberFormat="1" applyFont="1" applyFill="1" applyBorder="1" applyAlignment="1">
      <alignment wrapText="1"/>
    </xf>
    <xf numFmtId="49" fontId="5" fillId="0" borderId="2" xfId="3" applyNumberFormat="1" applyFont="1" applyFill="1" applyBorder="1" applyAlignment="1">
      <alignment horizontal="left" vertical="top"/>
    </xf>
    <xf numFmtId="49" fontId="39" fillId="0" borderId="6" xfId="0" applyNumberFormat="1" applyFont="1" applyBorder="1" applyAlignment="1">
      <alignment wrapText="1"/>
    </xf>
    <xf numFmtId="49" fontId="37" fillId="3" borderId="2" xfId="0" applyNumberFormat="1" applyFont="1" applyFill="1" applyBorder="1" applyAlignment="1">
      <alignment wrapText="1"/>
    </xf>
    <xf numFmtId="49" fontId="37" fillId="3" borderId="20" xfId="0" applyNumberFormat="1" applyFont="1" applyFill="1" applyBorder="1" applyAlignment="1">
      <alignment wrapText="1"/>
    </xf>
    <xf numFmtId="49" fontId="37" fillId="3" borderId="6" xfId="0" applyNumberFormat="1" applyFont="1" applyFill="1" applyBorder="1" applyAlignment="1">
      <alignment wrapText="1"/>
    </xf>
    <xf numFmtId="0" fontId="37" fillId="3" borderId="2" xfId="0" applyNumberFormat="1" applyFont="1" applyFill="1" applyBorder="1" applyAlignment="1">
      <alignment wrapText="1"/>
    </xf>
    <xf numFmtId="49" fontId="38" fillId="0" borderId="6" xfId="3" applyNumberFormat="1" applyFont="1" applyFill="1" applyBorder="1" applyAlignment="1">
      <alignment horizontal="left" wrapText="1"/>
    </xf>
    <xf numFmtId="49" fontId="5" fillId="0" borderId="0" xfId="3" applyNumberFormat="1" applyFont="1" applyFill="1" applyBorder="1" applyAlignment="1">
      <alignment horizontal="left" vertical="top"/>
    </xf>
    <xf numFmtId="0" fontId="5" fillId="0" borderId="0" xfId="3" applyFont="1" applyFill="1" applyBorder="1"/>
    <xf numFmtId="4" fontId="5" fillId="0" borderId="0" xfId="3" applyNumberFormat="1" applyFont="1" applyFill="1" applyBorder="1"/>
    <xf numFmtId="0" fontId="37" fillId="3" borderId="2" xfId="1" applyNumberFormat="1" applyFont="1" applyFill="1" applyBorder="1" applyAlignment="1">
      <alignment wrapText="1"/>
    </xf>
    <xf numFmtId="49" fontId="5" fillId="0" borderId="0" xfId="3" applyNumberFormat="1" applyFont="1" applyFill="1" applyBorder="1" applyAlignment="1">
      <alignment horizontal="left" vertical="top" wrapText="1"/>
    </xf>
    <xf numFmtId="49" fontId="5" fillId="0" borderId="0" xfId="3" applyNumberFormat="1" applyFont="1" applyFill="1" applyBorder="1" applyAlignment="1">
      <alignment horizontal="left" vertical="center" wrapText="1"/>
    </xf>
    <xf numFmtId="49" fontId="37" fillId="12" borderId="2" xfId="0" applyNumberFormat="1" applyFont="1" applyFill="1" applyBorder="1" applyAlignment="1">
      <alignment wrapText="1"/>
    </xf>
    <xf numFmtId="2" fontId="40" fillId="0" borderId="2" xfId="0" applyNumberFormat="1" applyFont="1" applyFill="1" applyBorder="1" applyAlignment="1">
      <alignment horizontal="center" vertical="center"/>
    </xf>
    <xf numFmtId="0" fontId="24" fillId="0" borderId="20" xfId="6" applyFont="1" applyBorder="1" applyAlignment="1">
      <alignment horizontal="center" vertical="center"/>
    </xf>
    <xf numFmtId="49" fontId="5" fillId="0" borderId="0" xfId="3" applyNumberFormat="1" applyFont="1" applyFill="1" applyBorder="1" applyAlignment="1">
      <alignment vertical="center" wrapText="1"/>
    </xf>
    <xf numFmtId="49" fontId="37" fillId="7" borderId="2" xfId="0" applyNumberFormat="1" applyFont="1" applyFill="1" applyBorder="1" applyAlignment="1">
      <alignment horizontal="left" vertical="center" wrapText="1"/>
    </xf>
    <xf numFmtId="49" fontId="38" fillId="0" borderId="2" xfId="0" applyNumberFormat="1" applyFont="1" applyBorder="1" applyAlignment="1">
      <alignment wrapText="1"/>
    </xf>
    <xf numFmtId="0" fontId="11" fillId="0" borderId="2" xfId="3" applyFont="1" applyFill="1" applyBorder="1" applyAlignment="1">
      <alignment horizontal="left" vertical="center"/>
    </xf>
    <xf numFmtId="2" fontId="37" fillId="7" borderId="2" xfId="0" applyNumberFormat="1" applyFont="1" applyFill="1" applyBorder="1" applyAlignment="1">
      <alignment horizontal="center" wrapText="1"/>
    </xf>
    <xf numFmtId="0" fontId="0" fillId="0" borderId="0" xfId="0" applyFont="1"/>
    <xf numFmtId="49" fontId="11" fillId="0" borderId="2" xfId="0" applyNumberFormat="1" applyFont="1" applyFill="1" applyBorder="1" applyAlignment="1" applyProtection="1">
      <alignment horizontal="left" vertical="center" wrapText="1"/>
      <protection locked="0"/>
    </xf>
    <xf numFmtId="49" fontId="11" fillId="0" borderId="17" xfId="0" applyNumberFormat="1" applyFont="1" applyFill="1" applyBorder="1" applyAlignment="1" applyProtection="1">
      <alignment horizontal="center" vertical="top" wrapText="1"/>
      <protection locked="0"/>
    </xf>
    <xf numFmtId="168" fontId="24" fillId="0" borderId="8" xfId="6" applyNumberFormat="1" applyFont="1" applyBorder="1" applyAlignment="1">
      <alignment horizontal="center" vertical="center"/>
    </xf>
    <xf numFmtId="2" fontId="24" fillId="0" borderId="8" xfId="6" applyNumberFormat="1" applyFont="1" applyBorder="1" applyAlignment="1">
      <alignment horizontal="center" vertical="center"/>
    </xf>
    <xf numFmtId="2" fontId="1" fillId="3" borderId="8" xfId="0" applyNumberFormat="1" applyFont="1" applyFill="1" applyBorder="1" applyAlignment="1" applyProtection="1">
      <alignment horizontal="center" vertical="center"/>
    </xf>
    <xf numFmtId="0" fontId="3" fillId="8" borderId="2" xfId="2" applyFont="1" applyFill="1" applyBorder="1" applyAlignment="1" applyProtection="1">
      <alignment horizontal="left" vertical="top" wrapText="1"/>
      <protection locked="0"/>
    </xf>
    <xf numFmtId="0" fontId="3" fillId="8" borderId="2" xfId="2" applyFont="1" applyFill="1" applyBorder="1" applyAlignment="1" applyProtection="1">
      <alignment horizontal="center" vertical="top"/>
      <protection locked="0"/>
    </xf>
    <xf numFmtId="0" fontId="3" fillId="8" borderId="2" xfId="2" applyFont="1" applyFill="1" applyBorder="1" applyAlignment="1" applyProtection="1">
      <alignment horizontal="left" vertical="center"/>
      <protection locked="0"/>
    </xf>
    <xf numFmtId="2" fontId="3" fillId="8" borderId="2" xfId="2" applyNumberFormat="1" applyFont="1" applyFill="1" applyBorder="1" applyAlignment="1" applyProtection="1">
      <alignment horizontal="center" vertical="top"/>
      <protection locked="0"/>
    </xf>
    <xf numFmtId="4" fontId="0" fillId="0" borderId="0" xfId="0" applyNumberFormat="1"/>
    <xf numFmtId="0" fontId="5" fillId="0" borderId="0" xfId="3" applyFont="1" applyFill="1" applyBorder="1" applyAlignment="1">
      <alignment horizontal="left"/>
    </xf>
    <xf numFmtId="49" fontId="5" fillId="0" borderId="0" xfId="3" applyNumberFormat="1" applyFont="1" applyFill="1" applyBorder="1" applyAlignment="1">
      <alignment horizontal="left" vertical="center" wrapText="1"/>
    </xf>
    <xf numFmtId="0" fontId="21" fillId="0" borderId="8" xfId="2" applyFont="1" applyFill="1" applyBorder="1" applyAlignment="1" applyProtection="1">
      <alignment horizontal="center" vertical="center" textRotation="90"/>
      <protection locked="0"/>
    </xf>
    <xf numFmtId="0" fontId="21" fillId="0" borderId="11" xfId="2" applyFont="1" applyFill="1" applyBorder="1" applyAlignment="1" applyProtection="1">
      <alignment horizontal="center" vertical="center" textRotation="90"/>
      <protection locked="0"/>
    </xf>
    <xf numFmtId="2" fontId="21" fillId="0" borderId="8" xfId="2" applyNumberFormat="1" applyFont="1" applyFill="1" applyBorder="1" applyAlignment="1" applyProtection="1">
      <alignment horizontal="center" vertical="center"/>
      <protection locked="0"/>
    </xf>
    <xf numFmtId="2" fontId="21" fillId="0" borderId="15" xfId="2" applyNumberFormat="1" applyFont="1" applyFill="1" applyBorder="1" applyAlignment="1" applyProtection="1">
      <alignment horizontal="center" vertical="center"/>
      <protection locked="0"/>
    </xf>
    <xf numFmtId="0" fontId="1" fillId="0" borderId="10" xfId="2" applyFont="1" applyFill="1" applyBorder="1" applyAlignment="1" applyProtection="1">
      <alignment horizontal="center" vertical="top"/>
      <protection locked="0"/>
    </xf>
    <xf numFmtId="0" fontId="1" fillId="0" borderId="16" xfId="2" applyFont="1" applyFill="1" applyBorder="1" applyAlignment="1" applyProtection="1">
      <alignment horizontal="center" vertical="top"/>
      <protection locked="0"/>
    </xf>
    <xf numFmtId="0" fontId="1" fillId="0" borderId="17" xfId="2" applyFont="1" applyFill="1" applyBorder="1" applyAlignment="1" applyProtection="1">
      <alignment horizontal="center" vertical="top"/>
      <protection locked="0"/>
    </xf>
    <xf numFmtId="0" fontId="1" fillId="0" borderId="4" xfId="2" applyFont="1" applyFill="1" applyBorder="1" applyAlignment="1" applyProtection="1">
      <alignment horizontal="center" vertical="top"/>
      <protection locked="0"/>
    </xf>
    <xf numFmtId="0" fontId="1" fillId="0" borderId="0" xfId="2" applyFont="1" applyFill="1" applyBorder="1" applyAlignment="1" applyProtection="1">
      <alignment horizontal="center" vertical="top"/>
      <protection locked="0"/>
    </xf>
    <xf numFmtId="0" fontId="1" fillId="0" borderId="18" xfId="2" applyFont="1" applyFill="1" applyBorder="1" applyAlignment="1" applyProtection="1">
      <alignment horizontal="center" vertical="top"/>
      <protection locked="0"/>
    </xf>
    <xf numFmtId="0" fontId="11" fillId="0" borderId="9" xfId="2" applyFont="1" applyFill="1" applyBorder="1" applyAlignment="1" applyProtection="1">
      <alignment horizontal="left" vertical="top" wrapText="1"/>
      <protection locked="0"/>
    </xf>
    <xf numFmtId="0" fontId="11" fillId="0" borderId="22" xfId="2" applyFont="1" applyFill="1" applyBorder="1" applyAlignment="1" applyProtection="1">
      <alignment horizontal="left" vertical="top" wrapText="1"/>
      <protection locked="0"/>
    </xf>
    <xf numFmtId="0" fontId="11" fillId="0" borderId="23" xfId="2" applyFont="1" applyFill="1" applyBorder="1" applyAlignment="1" applyProtection="1">
      <alignment horizontal="left" vertical="top" wrapText="1"/>
      <protection locked="0"/>
    </xf>
    <xf numFmtId="49" fontId="1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2" fontId="1" fillId="11" borderId="8" xfId="0" applyNumberFormat="1" applyFont="1" applyFill="1" applyBorder="1" applyAlignment="1" applyProtection="1">
      <alignment horizontal="center" vertical="center"/>
    </xf>
    <xf numFmtId="2" fontId="1" fillId="11" borderId="11" xfId="0" applyNumberFormat="1" applyFont="1" applyFill="1" applyBorder="1" applyAlignment="1" applyProtection="1">
      <alignment horizontal="center" vertical="center"/>
    </xf>
    <xf numFmtId="2" fontId="1" fillId="11" borderId="15" xfId="0" applyNumberFormat="1" applyFont="1" applyFill="1" applyBorder="1" applyAlignment="1" applyProtection="1">
      <alignment horizontal="center" vertical="center"/>
    </xf>
    <xf numFmtId="0" fontId="5" fillId="0" borderId="2" xfId="3" applyFont="1" applyFill="1" applyBorder="1" applyAlignment="1">
      <alignment horizontal="center" vertical="center" wrapText="1"/>
    </xf>
    <xf numFmtId="0" fontId="5" fillId="0" borderId="2" xfId="4" applyFont="1" applyFill="1" applyBorder="1" applyAlignment="1">
      <alignment horizontal="center" vertical="center" wrapText="1"/>
    </xf>
    <xf numFmtId="0" fontId="17" fillId="0" borderId="2" xfId="4" applyFont="1" applyFill="1" applyBorder="1" applyAlignment="1">
      <alignment horizontal="center" vertical="center" wrapText="1"/>
    </xf>
    <xf numFmtId="0" fontId="19" fillId="0" borderId="8" xfId="5" applyNumberFormat="1" applyFont="1" applyFill="1" applyBorder="1" applyAlignment="1" applyProtection="1">
      <alignment horizontal="center" vertical="center" wrapText="1"/>
    </xf>
    <xf numFmtId="0" fontId="19" fillId="0" borderId="15" xfId="5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8" xfId="3" applyFont="1" applyFill="1" applyBorder="1" applyAlignment="1">
      <alignment horizontal="center" vertical="center" wrapText="1"/>
    </xf>
    <xf numFmtId="0" fontId="5" fillId="0" borderId="11" xfId="3" applyFont="1" applyFill="1" applyBorder="1" applyAlignment="1">
      <alignment horizontal="center" vertical="center" wrapText="1"/>
    </xf>
    <xf numFmtId="0" fontId="5" fillId="0" borderId="15" xfId="3" applyFont="1" applyFill="1" applyBorder="1" applyAlignment="1">
      <alignment horizontal="center" vertical="center" wrapText="1"/>
    </xf>
    <xf numFmtId="0" fontId="5" fillId="0" borderId="2" xfId="3" applyFont="1" applyFill="1" applyBorder="1" applyAlignment="1">
      <alignment horizontal="center" vertical="center" textRotation="90" wrapText="1"/>
    </xf>
    <xf numFmtId="0" fontId="13" fillId="0" borderId="2" xfId="2" applyFont="1" applyFill="1" applyBorder="1" applyAlignment="1" applyProtection="1">
      <alignment horizontal="center" vertical="top"/>
      <protection locked="0"/>
    </xf>
    <xf numFmtId="0" fontId="5" fillId="0" borderId="2" xfId="0" applyFont="1" applyFill="1" applyBorder="1" applyAlignment="1">
      <alignment horizontal="center" vertical="center"/>
    </xf>
    <xf numFmtId="49" fontId="5" fillId="0" borderId="2" xfId="3" applyNumberFormat="1" applyFont="1" applyFill="1" applyBorder="1" applyAlignment="1">
      <alignment horizontal="center" vertical="top" wrapText="1"/>
    </xf>
    <xf numFmtId="0" fontId="1" fillId="5" borderId="14" xfId="2" applyFont="1" applyFill="1" applyBorder="1" applyAlignment="1" applyProtection="1">
      <alignment horizontal="center" vertical="top"/>
      <protection locked="0"/>
    </xf>
    <xf numFmtId="0" fontId="1" fillId="5" borderId="13" xfId="2" applyFont="1" applyFill="1" applyBorder="1" applyAlignment="1" applyProtection="1">
      <alignment horizontal="center" vertical="top"/>
      <protection locked="0"/>
    </xf>
    <xf numFmtId="0" fontId="3" fillId="2" borderId="2" xfId="2" applyFont="1" applyFill="1" applyBorder="1" applyAlignment="1" applyProtection="1">
      <alignment horizontal="justify" vertical="center"/>
      <protection locked="0"/>
    </xf>
    <xf numFmtId="0" fontId="0" fillId="0" borderId="2" xfId="0" applyBorder="1"/>
    <xf numFmtId="49" fontId="7" fillId="0" borderId="0" xfId="3" applyNumberFormat="1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0" fontId="15" fillId="0" borderId="0" xfId="0" applyFont="1"/>
    <xf numFmtId="0" fontId="7" fillId="0" borderId="7" xfId="0" applyFont="1" applyBorder="1"/>
  </cellXfs>
  <cellStyles count="156">
    <cellStyle name="dataCell" xfId="9"/>
    <cellStyle name="dataCell 2" xfId="10"/>
    <cellStyle name="Обычный" xfId="0" builtinId="0"/>
    <cellStyle name="Обычный 133" xfId="11"/>
    <cellStyle name="Обычный 2" xfId="12"/>
    <cellStyle name="Обычный 2 10" xfId="13"/>
    <cellStyle name="Обычный 2 10 2" xfId="14"/>
    <cellStyle name="Обычный 2 100" xfId="15"/>
    <cellStyle name="Обычный 2 101" xfId="16"/>
    <cellStyle name="Обычный 2 102" xfId="17"/>
    <cellStyle name="Обычный 2 103" xfId="18"/>
    <cellStyle name="Обычный 2 104" xfId="19"/>
    <cellStyle name="Обычный 2 105" xfId="20"/>
    <cellStyle name="Обычный 2 106" xfId="21"/>
    <cellStyle name="Обычный 2 107" xfId="22"/>
    <cellStyle name="Обычный 2 108" xfId="23"/>
    <cellStyle name="Обычный 2 109" xfId="24"/>
    <cellStyle name="Обычный 2 11" xfId="25"/>
    <cellStyle name="Обычный 2 110" xfId="26"/>
    <cellStyle name="Обычный 2 111" xfId="27"/>
    <cellStyle name="Обычный 2 112" xfId="28"/>
    <cellStyle name="Обычный 2 113" xfId="29"/>
    <cellStyle name="Обычный 2 114" xfId="30"/>
    <cellStyle name="Обычный 2 115" xfId="31"/>
    <cellStyle name="Обычный 2 116" xfId="32"/>
    <cellStyle name="Обычный 2 117" xfId="33"/>
    <cellStyle name="Обычный 2 118" xfId="34"/>
    <cellStyle name="Обычный 2 119" xfId="35"/>
    <cellStyle name="Обычный 2 12" xfId="36"/>
    <cellStyle name="Обычный 2 120" xfId="37"/>
    <cellStyle name="Обычный 2 121" xfId="38"/>
    <cellStyle name="Обычный 2 122" xfId="39"/>
    <cellStyle name="Обычный 2 123" xfId="40"/>
    <cellStyle name="Обычный 2 124" xfId="41"/>
    <cellStyle name="Обычный 2 125" xfId="42"/>
    <cellStyle name="Обычный 2 126" xfId="43"/>
    <cellStyle name="Обычный 2 127" xfId="44"/>
    <cellStyle name="Обычный 2 128" xfId="45"/>
    <cellStyle name="Обычный 2 129" xfId="46"/>
    <cellStyle name="Обычный 2 13" xfId="47"/>
    <cellStyle name="Обычный 2 130" xfId="48"/>
    <cellStyle name="Обычный 2 131" xfId="49"/>
    <cellStyle name="Обычный 2 132" xfId="50"/>
    <cellStyle name="Обычный 2 133" xfId="51"/>
    <cellStyle name="Обычный 2 14" xfId="52"/>
    <cellStyle name="Обычный 2 15" xfId="53"/>
    <cellStyle name="Обычный 2 16" xfId="54"/>
    <cellStyle name="Обычный 2 17" xfId="55"/>
    <cellStyle name="Обычный 2 18" xfId="56"/>
    <cellStyle name="Обычный 2 19" xfId="57"/>
    <cellStyle name="Обычный 2 2" xfId="3"/>
    <cellStyle name="Обычный 2 2 2" xfId="58"/>
    <cellStyle name="Обычный 2 2 5" xfId="59"/>
    <cellStyle name="Обычный 2 2_Xl0000389" xfId="60"/>
    <cellStyle name="Обычный 2 2_ОФО новая сеть" xfId="7"/>
    <cellStyle name="Обычный 2 20" xfId="61"/>
    <cellStyle name="Обычный 2 21" xfId="62"/>
    <cellStyle name="Обычный 2 22" xfId="63"/>
    <cellStyle name="Обычный 2 23" xfId="64"/>
    <cellStyle name="Обычный 2 24" xfId="65"/>
    <cellStyle name="Обычный 2 25" xfId="66"/>
    <cellStyle name="Обычный 2 26" xfId="67"/>
    <cellStyle name="Обычный 2 27" xfId="68"/>
    <cellStyle name="Обычный 2 28" xfId="69"/>
    <cellStyle name="Обычный 2 29" xfId="70"/>
    <cellStyle name="Обычный 2 3" xfId="71"/>
    <cellStyle name="Обычный 2 3 2" xfId="72"/>
    <cellStyle name="Обычный 2 30" xfId="73"/>
    <cellStyle name="Обычный 2 31" xfId="74"/>
    <cellStyle name="Обычный 2 32" xfId="75"/>
    <cellStyle name="Обычный 2 33" xfId="76"/>
    <cellStyle name="Обычный 2 34" xfId="77"/>
    <cellStyle name="Обычный 2 35" xfId="78"/>
    <cellStyle name="Обычный 2 36" xfId="79"/>
    <cellStyle name="Обычный 2 37" xfId="80"/>
    <cellStyle name="Обычный 2 38" xfId="81"/>
    <cellStyle name="Обычный 2 39" xfId="82"/>
    <cellStyle name="Обычный 2 4" xfId="83"/>
    <cellStyle name="Обычный 2 40" xfId="84"/>
    <cellStyle name="Обычный 2 41" xfId="85"/>
    <cellStyle name="Обычный 2 42" xfId="86"/>
    <cellStyle name="Обычный 2 43" xfId="87"/>
    <cellStyle name="Обычный 2 44" xfId="88"/>
    <cellStyle name="Обычный 2 45" xfId="89"/>
    <cellStyle name="Обычный 2 46" xfId="90"/>
    <cellStyle name="Обычный 2 47" xfId="91"/>
    <cellStyle name="Обычный 2 48" xfId="92"/>
    <cellStyle name="Обычный 2 49" xfId="93"/>
    <cellStyle name="Обычный 2 5" xfId="94"/>
    <cellStyle name="Обычный 2 50" xfId="95"/>
    <cellStyle name="Обычный 2 51" xfId="96"/>
    <cellStyle name="Обычный 2 52" xfId="97"/>
    <cellStyle name="Обычный 2 53" xfId="98"/>
    <cellStyle name="Обычный 2 54" xfId="99"/>
    <cellStyle name="Обычный 2 55" xfId="100"/>
    <cellStyle name="Обычный 2 56" xfId="101"/>
    <cellStyle name="Обычный 2 57" xfId="102"/>
    <cellStyle name="Обычный 2 58" xfId="103"/>
    <cellStyle name="Обычный 2 59" xfId="104"/>
    <cellStyle name="Обычный 2 6" xfId="105"/>
    <cellStyle name="Обычный 2 60" xfId="106"/>
    <cellStyle name="Обычный 2 61" xfId="107"/>
    <cellStyle name="Обычный 2 62" xfId="108"/>
    <cellStyle name="Обычный 2 63" xfId="109"/>
    <cellStyle name="Обычный 2 64" xfId="110"/>
    <cellStyle name="Обычный 2 65" xfId="111"/>
    <cellStyle name="Обычный 2 66" xfId="112"/>
    <cellStyle name="Обычный 2 67" xfId="113"/>
    <cellStyle name="Обычный 2 68" xfId="114"/>
    <cellStyle name="Обычный 2 69" xfId="115"/>
    <cellStyle name="Обычный 2 7" xfId="116"/>
    <cellStyle name="Обычный 2 70" xfId="117"/>
    <cellStyle name="Обычный 2 71" xfId="118"/>
    <cellStyle name="Обычный 2 72" xfId="119"/>
    <cellStyle name="Обычный 2 73" xfId="120"/>
    <cellStyle name="Обычный 2 74" xfId="121"/>
    <cellStyle name="Обычный 2 75" xfId="122"/>
    <cellStyle name="Обычный 2 76" xfId="123"/>
    <cellStyle name="Обычный 2 77" xfId="124"/>
    <cellStyle name="Обычный 2 78" xfId="125"/>
    <cellStyle name="Обычный 2 79" xfId="126"/>
    <cellStyle name="Обычный 2 8" xfId="127"/>
    <cellStyle name="Обычный 2 80" xfId="128"/>
    <cellStyle name="Обычный 2 81" xfId="129"/>
    <cellStyle name="Обычный 2 82" xfId="130"/>
    <cellStyle name="Обычный 2 83" xfId="131"/>
    <cellStyle name="Обычный 2 84" xfId="132"/>
    <cellStyle name="Обычный 2 85" xfId="133"/>
    <cellStyle name="Обычный 2 86" xfId="134"/>
    <cellStyle name="Обычный 2 87" xfId="135"/>
    <cellStyle name="Обычный 2 88" xfId="136"/>
    <cellStyle name="Обычный 2 89" xfId="137"/>
    <cellStyle name="Обычный 2 9" xfId="138"/>
    <cellStyle name="Обычный 2 90" xfId="139"/>
    <cellStyle name="Обычный 2 91" xfId="140"/>
    <cellStyle name="Обычный 2 92" xfId="141"/>
    <cellStyle name="Обычный 2 93" xfId="142"/>
    <cellStyle name="Обычный 2 94" xfId="143"/>
    <cellStyle name="Обычный 2 95" xfId="144"/>
    <cellStyle name="Обычный 2 96" xfId="145"/>
    <cellStyle name="Обычный 2 97" xfId="146"/>
    <cellStyle name="Обычный 2 98" xfId="147"/>
    <cellStyle name="Обычный 2 99" xfId="148"/>
    <cellStyle name="Обычный 2_ОФО новостроек (род.плата) исправл." xfId="149"/>
    <cellStyle name="Обычный 2_Форма расчета ОФО школы (уточненная)" xfId="4"/>
    <cellStyle name="Обычный 3 2" xfId="150"/>
    <cellStyle name="Обычный 4 2" xfId="151"/>
    <cellStyle name="Обычный 4 8 2" xfId="152"/>
    <cellStyle name="Обычный 46" xfId="5"/>
    <cellStyle name="Обычный 5 2" xfId="153"/>
    <cellStyle name="Обычный 6 2" xfId="154"/>
    <cellStyle name="Обычный 8 2" xfId="155"/>
    <cellStyle name="Обычный_Задания 2007 год часть 3" xfId="6"/>
    <cellStyle name="Обычный_Задания 2007 год часть 3 2" xfId="8"/>
    <cellStyle name="Обычный_Сводная бюджетная  роспись 2011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BC176"/>
  <sheetViews>
    <sheetView showZeros="0" tabSelected="1" view="pageBreakPreview" zoomScale="80" zoomScaleNormal="60" zoomScaleSheetLayoutView="80" workbookViewId="0">
      <pane xSplit="2" ySplit="15" topLeftCell="C16" activePane="bottomRight" state="frozen"/>
      <selection activeCell="K94" sqref="K94"/>
      <selection pane="topRight" activeCell="K94" sqref="K94"/>
      <selection pane="bottomLeft" activeCell="K94" sqref="K94"/>
      <selection pane="bottomRight"/>
    </sheetView>
  </sheetViews>
  <sheetFormatPr defaultRowHeight="12.75" x14ac:dyDescent="0.2"/>
  <cols>
    <col min="1" max="1" width="53.28515625" customWidth="1"/>
    <col min="2" max="2" width="6.7109375" customWidth="1"/>
    <col min="3" max="3" width="10.7109375" customWidth="1"/>
    <col min="4" max="4" width="7.28515625" customWidth="1"/>
    <col min="5" max="5" width="10.28515625" customWidth="1"/>
    <col min="6" max="6" width="2.42578125" customWidth="1"/>
    <col min="7" max="7" width="11.7109375" customWidth="1"/>
    <col min="8" max="8" width="2.5703125" customWidth="1"/>
    <col min="9" max="9" width="10.7109375" customWidth="1"/>
    <col min="10" max="10" width="2.28515625" customWidth="1"/>
    <col min="11" max="11" width="13.140625" customWidth="1"/>
    <col min="12" max="12" width="2.42578125" customWidth="1"/>
    <col min="13" max="13" width="10.5703125" customWidth="1"/>
    <col min="14" max="14" width="2.5703125" customWidth="1"/>
    <col min="15" max="15" width="12.28515625" customWidth="1"/>
    <col min="16" max="16" width="23.28515625" customWidth="1"/>
    <col min="17" max="17" width="15.140625" customWidth="1"/>
    <col min="18" max="23" width="8.85546875" customWidth="1"/>
    <col min="24" max="24" width="3" style="5" hidden="1" customWidth="1"/>
    <col min="25" max="25" width="34.7109375" style="6" hidden="1" customWidth="1"/>
    <col min="26" max="26" width="10.7109375" style="7" hidden="1" customWidth="1"/>
    <col min="27" max="27" width="1.7109375" style="7" hidden="1" customWidth="1"/>
    <col min="28" max="28" width="4.85546875" style="7" hidden="1" customWidth="1"/>
    <col min="29" max="34" width="6.85546875" style="7" hidden="1" customWidth="1"/>
    <col min="35" max="35" width="15" style="7" hidden="1" customWidth="1"/>
    <col min="36" max="36" width="17.28515625" style="7" hidden="1" customWidth="1"/>
    <col min="37" max="37" width="12.28515625" style="7" hidden="1" customWidth="1"/>
    <col min="38" max="38" width="15" style="7" hidden="1" customWidth="1"/>
    <col min="39" max="39" width="12.42578125" style="7" hidden="1" customWidth="1"/>
    <col min="40" max="40" width="6.85546875" style="7" hidden="1" customWidth="1"/>
    <col min="41" max="41" width="13.5703125" style="7" hidden="1" customWidth="1"/>
    <col min="42" max="44" width="14.140625" style="7" hidden="1" customWidth="1"/>
    <col min="45" max="45" width="9.7109375" style="7" hidden="1" customWidth="1"/>
    <col min="46" max="46" width="12.28515625" style="7" hidden="1" customWidth="1"/>
    <col min="47" max="47" width="16.85546875" style="7" hidden="1" customWidth="1"/>
    <col min="48" max="48" width="13.5703125" style="7" hidden="1" customWidth="1"/>
    <col min="49" max="49" width="6.85546875" style="7" hidden="1" customWidth="1"/>
    <col min="50" max="50" width="12.7109375" style="7" hidden="1" customWidth="1"/>
    <col min="51" max="51" width="12.85546875" style="7" hidden="1" customWidth="1"/>
    <col min="52" max="52" width="9.7109375" style="7" hidden="1" customWidth="1"/>
    <col min="53" max="54" width="11.7109375" style="7" hidden="1" customWidth="1"/>
    <col min="55" max="55" width="9.140625" style="7" hidden="1" customWidth="1"/>
  </cols>
  <sheetData>
    <row r="1" spans="1:55" ht="22.9" customHeight="1" x14ac:dyDescent="0.2">
      <c r="A1" s="1" t="s">
        <v>0</v>
      </c>
      <c r="B1" s="2"/>
      <c r="C1" s="398"/>
      <c r="D1" s="3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Z1" s="400" t="s">
        <v>1</v>
      </c>
      <c r="AA1" s="400"/>
      <c r="AB1" s="400"/>
      <c r="AC1" s="400"/>
      <c r="AD1" s="400"/>
      <c r="AE1" s="400"/>
      <c r="AF1" s="400"/>
      <c r="AG1" s="400"/>
      <c r="AH1" s="400"/>
      <c r="AI1" s="400"/>
      <c r="AJ1" s="400"/>
      <c r="AK1" s="400"/>
    </row>
    <row r="2" spans="1:55" ht="21.75" customHeight="1" x14ac:dyDescent="0.2">
      <c r="A2" s="8" t="s">
        <v>2</v>
      </c>
      <c r="B2" s="2"/>
      <c r="C2" s="398"/>
      <c r="D2" s="3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Z2" s="401" t="s">
        <v>3</v>
      </c>
      <c r="AA2" s="402"/>
      <c r="AB2" s="402"/>
      <c r="AC2" s="402"/>
      <c r="AD2" s="402"/>
      <c r="AE2" s="402"/>
      <c r="AF2" s="402"/>
      <c r="AG2" s="402"/>
      <c r="AH2" s="402"/>
      <c r="AI2" s="402"/>
      <c r="AJ2" s="402"/>
      <c r="AK2" s="9"/>
    </row>
    <row r="3" spans="1:55" ht="18" customHeight="1" x14ac:dyDescent="0.25">
      <c r="A3" s="10"/>
      <c r="B3" s="11"/>
      <c r="C3" s="399"/>
      <c r="D3" s="12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4"/>
    </row>
    <row r="4" spans="1:55" ht="18" customHeight="1" x14ac:dyDescent="0.25">
      <c r="A4" s="15" t="s">
        <v>4</v>
      </c>
      <c r="B4" s="16"/>
      <c r="C4" s="17">
        <v>64</v>
      </c>
      <c r="D4" s="18">
        <f>ROUND(C7*14.17657,2)</f>
        <v>144195.56</v>
      </c>
      <c r="E4" s="393"/>
      <c r="F4" s="393"/>
      <c r="G4" s="393"/>
      <c r="H4" s="393"/>
      <c r="I4" s="393"/>
      <c r="J4" s="393"/>
      <c r="K4" s="393"/>
      <c r="L4" s="393"/>
      <c r="M4" s="19"/>
      <c r="N4" s="4"/>
      <c r="O4" s="4"/>
      <c r="P4" s="4"/>
      <c r="Z4" s="403" t="s">
        <v>5</v>
      </c>
      <c r="AA4" s="403"/>
      <c r="AB4" s="404" t="str">
        <f>A2</f>
        <v>Гимназия № 8</v>
      </c>
      <c r="AC4" s="404"/>
      <c r="AD4" s="404"/>
      <c r="AE4" s="404"/>
      <c r="AF4" s="404"/>
      <c r="AG4" s="404"/>
      <c r="AH4" s="404"/>
      <c r="AI4" s="404"/>
      <c r="AJ4" s="404"/>
      <c r="AK4" s="14"/>
      <c r="AO4" s="7">
        <v>3728266.69</v>
      </c>
    </row>
    <row r="5" spans="1:55" ht="18" customHeight="1" x14ac:dyDescent="0.25">
      <c r="A5" s="15" t="s">
        <v>6</v>
      </c>
      <c r="B5" s="16"/>
      <c r="C5" s="17">
        <v>1801</v>
      </c>
      <c r="D5" s="20"/>
      <c r="E5" s="393"/>
      <c r="F5" s="393"/>
      <c r="G5" s="393"/>
      <c r="H5" s="393"/>
      <c r="I5" s="393"/>
      <c r="J5" s="393"/>
      <c r="K5" s="393"/>
      <c r="L5" s="393"/>
      <c r="M5" s="19"/>
      <c r="N5" s="4"/>
      <c r="O5" s="4"/>
      <c r="P5" s="4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14"/>
    </row>
    <row r="6" spans="1:55" ht="18" customHeight="1" x14ac:dyDescent="0.25">
      <c r="A6" s="15" t="s">
        <v>7</v>
      </c>
      <c r="B6" s="16"/>
      <c r="C6" s="17">
        <v>10171.4</v>
      </c>
      <c r="D6" s="18">
        <v>1969.7</v>
      </c>
      <c r="E6" s="393"/>
      <c r="F6" s="393"/>
      <c r="G6" s="393"/>
      <c r="H6" s="393"/>
      <c r="I6" s="393"/>
      <c r="J6" s="393"/>
      <c r="K6" s="393"/>
      <c r="L6" s="393"/>
      <c r="M6" s="19"/>
      <c r="N6" s="4"/>
      <c r="O6" s="4"/>
      <c r="P6" s="4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2" t="e">
        <f>AI48-AI49-AI103</f>
        <v>#REF!</v>
      </c>
    </row>
    <row r="7" spans="1:55" ht="18" customHeight="1" x14ac:dyDescent="0.25">
      <c r="A7" s="15" t="s">
        <v>8</v>
      </c>
      <c r="B7" s="16"/>
      <c r="C7" s="17">
        <f>C6</f>
        <v>10171.4</v>
      </c>
      <c r="D7" s="18"/>
      <c r="E7" s="393"/>
      <c r="F7" s="393"/>
      <c r="G7" s="393"/>
      <c r="H7" s="393"/>
      <c r="I7" s="393"/>
      <c r="J7" s="393"/>
      <c r="K7" s="393"/>
      <c r="L7" s="393"/>
      <c r="M7" s="19"/>
      <c r="N7" s="4"/>
      <c r="O7" s="4"/>
      <c r="P7" s="4"/>
      <c r="Z7" s="21" t="s">
        <v>9</v>
      </c>
      <c r="AA7" s="21" t="s">
        <v>10</v>
      </c>
      <c r="AB7" s="21"/>
      <c r="AC7" s="21"/>
      <c r="AD7" s="21"/>
      <c r="AE7" s="21"/>
      <c r="AF7" s="21"/>
      <c r="AG7" s="21"/>
      <c r="AH7" s="21"/>
      <c r="AI7" s="21"/>
      <c r="AJ7" s="21"/>
      <c r="AK7" s="14"/>
    </row>
    <row r="8" spans="1:55" ht="17.45" customHeight="1" x14ac:dyDescent="0.25">
      <c r="A8" s="15" t="s">
        <v>11</v>
      </c>
      <c r="B8" s="16"/>
      <c r="C8" s="17">
        <f>3+3</f>
        <v>6</v>
      </c>
      <c r="D8" s="18"/>
      <c r="E8" s="23"/>
      <c r="F8" s="23"/>
      <c r="G8" s="23"/>
      <c r="H8" s="24"/>
      <c r="I8" s="24"/>
      <c r="J8" s="24"/>
      <c r="K8" s="24"/>
      <c r="L8" s="4"/>
      <c r="M8" s="4"/>
      <c r="N8" s="4"/>
      <c r="O8" s="4"/>
      <c r="P8" s="4"/>
    </row>
    <row r="9" spans="1:55" ht="17.45" customHeight="1" x14ac:dyDescent="0.25">
      <c r="A9" s="15" t="s">
        <v>12</v>
      </c>
      <c r="B9" s="16"/>
      <c r="C9" s="17"/>
      <c r="D9" s="25"/>
      <c r="E9" s="23"/>
      <c r="F9" s="24"/>
      <c r="G9" s="24"/>
      <c r="H9" s="24"/>
      <c r="I9" s="24"/>
      <c r="J9" s="24"/>
      <c r="K9" s="24"/>
      <c r="L9" s="4"/>
      <c r="M9" s="4"/>
      <c r="N9" s="4"/>
      <c r="O9" s="4"/>
      <c r="P9" s="4"/>
    </row>
    <row r="10" spans="1:55" ht="17.45" customHeight="1" x14ac:dyDescent="0.25">
      <c r="A10" s="15" t="s">
        <v>13</v>
      </c>
      <c r="B10" s="16"/>
      <c r="C10" s="17"/>
      <c r="D10" s="25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X10" s="394" t="s">
        <v>14</v>
      </c>
      <c r="Y10" s="395" t="s">
        <v>15</v>
      </c>
      <c r="Z10" s="383" t="s">
        <v>16</v>
      </c>
      <c r="AA10" s="383" t="s">
        <v>17</v>
      </c>
      <c r="AB10" s="392" t="s">
        <v>18</v>
      </c>
      <c r="AC10" s="383" t="s">
        <v>19</v>
      </c>
      <c r="AD10" s="383"/>
      <c r="AE10" s="383" t="s">
        <v>20</v>
      </c>
      <c r="AF10" s="383"/>
      <c r="AG10" s="26" t="s">
        <v>21</v>
      </c>
      <c r="AH10" s="383" t="s">
        <v>22</v>
      </c>
      <c r="AI10" s="383" t="s">
        <v>23</v>
      </c>
      <c r="AJ10" s="383" t="s">
        <v>24</v>
      </c>
      <c r="AK10" s="383" t="s">
        <v>25</v>
      </c>
      <c r="AL10" s="383"/>
      <c r="AM10" s="383"/>
      <c r="AN10" s="383"/>
      <c r="AO10" s="383" t="s">
        <v>26</v>
      </c>
      <c r="AP10" s="383"/>
      <c r="AQ10" s="383"/>
      <c r="AR10" s="383"/>
      <c r="AS10" s="383"/>
      <c r="AT10" s="383"/>
      <c r="AU10" s="383"/>
      <c r="AV10" s="383"/>
      <c r="AW10" s="383"/>
      <c r="AX10" s="383"/>
      <c r="AY10" s="383"/>
      <c r="AZ10" s="383"/>
      <c r="BA10" s="383"/>
      <c r="BB10" s="383"/>
      <c r="BC10" s="388" t="s">
        <v>27</v>
      </c>
    </row>
    <row r="11" spans="1:55" ht="17.45" customHeight="1" x14ac:dyDescent="0.25">
      <c r="A11" s="15" t="s">
        <v>28</v>
      </c>
      <c r="B11" s="16"/>
      <c r="C11" s="17"/>
      <c r="D11" s="25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X11" s="394"/>
      <c r="Y11" s="395"/>
      <c r="Z11" s="383"/>
      <c r="AA11" s="383"/>
      <c r="AB11" s="392"/>
      <c r="AC11" s="383" t="s">
        <v>29</v>
      </c>
      <c r="AD11" s="383" t="s">
        <v>30</v>
      </c>
      <c r="AE11" s="383" t="s">
        <v>31</v>
      </c>
      <c r="AF11" s="383"/>
      <c r="AG11" s="383"/>
      <c r="AH11" s="383"/>
      <c r="AI11" s="383"/>
      <c r="AJ11" s="383"/>
      <c r="AK11" s="383" t="s">
        <v>32</v>
      </c>
      <c r="AL11" s="383" t="s">
        <v>33</v>
      </c>
      <c r="AM11" s="389" t="s">
        <v>34</v>
      </c>
      <c r="AN11" s="383" t="s">
        <v>35</v>
      </c>
      <c r="AO11" s="384" t="s">
        <v>36</v>
      </c>
      <c r="AP11" s="384" t="s">
        <v>31</v>
      </c>
      <c r="AQ11" s="384"/>
      <c r="AR11" s="384"/>
      <c r="AS11" s="384"/>
      <c r="AT11" s="383" t="s">
        <v>37</v>
      </c>
      <c r="AU11" s="383" t="s">
        <v>31</v>
      </c>
      <c r="AV11" s="383"/>
      <c r="AW11" s="383"/>
      <c r="AX11" s="383" t="s">
        <v>38</v>
      </c>
      <c r="AY11" s="383" t="s">
        <v>31</v>
      </c>
      <c r="AZ11" s="383"/>
      <c r="BA11" s="384" t="s">
        <v>39</v>
      </c>
      <c r="BB11" s="383" t="s">
        <v>40</v>
      </c>
      <c r="BC11" s="388"/>
    </row>
    <row r="12" spans="1:55" ht="18" customHeight="1" thickBot="1" x14ac:dyDescent="0.3">
      <c r="A12" s="27" t="s">
        <v>41</v>
      </c>
      <c r="B12" s="28"/>
      <c r="C12" s="29"/>
      <c r="D12" s="25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X12" s="394"/>
      <c r="Y12" s="395"/>
      <c r="Z12" s="383"/>
      <c r="AA12" s="383"/>
      <c r="AB12" s="392"/>
      <c r="AC12" s="383"/>
      <c r="AD12" s="383"/>
      <c r="AE12" s="384" t="s">
        <v>42</v>
      </c>
      <c r="AF12" s="384" t="s">
        <v>43</v>
      </c>
      <c r="AG12" s="385" t="s">
        <v>44</v>
      </c>
      <c r="AH12" s="383"/>
      <c r="AI12" s="383"/>
      <c r="AJ12" s="383"/>
      <c r="AK12" s="383"/>
      <c r="AL12" s="383"/>
      <c r="AM12" s="390"/>
      <c r="AN12" s="383"/>
      <c r="AO12" s="384"/>
      <c r="AP12" s="384" t="s">
        <v>45</v>
      </c>
      <c r="AQ12" s="386" t="s">
        <v>46</v>
      </c>
      <c r="AR12" s="386" t="s">
        <v>47</v>
      </c>
      <c r="AS12" s="384" t="s">
        <v>48</v>
      </c>
      <c r="AT12" s="383"/>
      <c r="AU12" s="383" t="s">
        <v>49</v>
      </c>
      <c r="AV12" s="383" t="s">
        <v>34</v>
      </c>
      <c r="AW12" s="383" t="s">
        <v>50</v>
      </c>
      <c r="AX12" s="383"/>
      <c r="AY12" s="383"/>
      <c r="AZ12" s="383"/>
      <c r="BA12" s="384"/>
      <c r="BB12" s="383"/>
      <c r="BC12" s="388"/>
    </row>
    <row r="13" spans="1:55" ht="52.9" customHeight="1" x14ac:dyDescent="0.25">
      <c r="A13" s="30"/>
      <c r="B13" s="31"/>
      <c r="C13" s="396"/>
      <c r="D13" s="396"/>
      <c r="E13" s="396"/>
      <c r="F13" s="396"/>
      <c r="G13" s="396"/>
      <c r="H13" s="396"/>
      <c r="I13" s="396"/>
      <c r="J13" s="396"/>
      <c r="K13" s="396"/>
      <c r="L13" s="396"/>
      <c r="M13" s="396"/>
      <c r="N13" s="396"/>
      <c r="O13" s="396"/>
      <c r="P13" s="397"/>
      <c r="X13" s="394"/>
      <c r="Y13" s="395"/>
      <c r="Z13" s="383"/>
      <c r="AA13" s="383"/>
      <c r="AB13" s="392"/>
      <c r="AC13" s="383"/>
      <c r="AD13" s="383"/>
      <c r="AE13" s="384"/>
      <c r="AF13" s="384"/>
      <c r="AG13" s="385"/>
      <c r="AH13" s="383"/>
      <c r="AI13" s="383"/>
      <c r="AJ13" s="383"/>
      <c r="AK13" s="383"/>
      <c r="AL13" s="383"/>
      <c r="AM13" s="391"/>
      <c r="AN13" s="383"/>
      <c r="AO13" s="384"/>
      <c r="AP13" s="384"/>
      <c r="AQ13" s="387"/>
      <c r="AR13" s="387"/>
      <c r="AS13" s="384"/>
      <c r="AT13" s="383"/>
      <c r="AU13" s="383"/>
      <c r="AV13" s="383"/>
      <c r="AW13" s="383"/>
      <c r="AX13" s="383"/>
      <c r="AY13" s="26" t="s">
        <v>51</v>
      </c>
      <c r="AZ13" s="26" t="s">
        <v>52</v>
      </c>
      <c r="BA13" s="384"/>
      <c r="BB13" s="383"/>
      <c r="BC13" s="388"/>
    </row>
    <row r="14" spans="1:55" ht="42" customHeight="1" x14ac:dyDescent="0.2">
      <c r="A14" s="32" t="s">
        <v>53</v>
      </c>
      <c r="B14" s="365" t="s">
        <v>54</v>
      </c>
      <c r="C14" s="367" t="s">
        <v>16</v>
      </c>
      <c r="D14" s="33"/>
      <c r="E14" s="369"/>
      <c r="F14" s="370"/>
      <c r="G14" s="370"/>
      <c r="H14" s="370"/>
      <c r="I14" s="370"/>
      <c r="J14" s="370"/>
      <c r="K14" s="370"/>
      <c r="L14" s="370"/>
      <c r="M14" s="370"/>
      <c r="N14" s="370"/>
      <c r="O14" s="371"/>
      <c r="P14" s="34" t="s">
        <v>55</v>
      </c>
      <c r="X14" s="35"/>
      <c r="Y14" s="36" t="s">
        <v>56</v>
      </c>
      <c r="Z14" s="26"/>
      <c r="AA14" s="26">
        <v>2</v>
      </c>
      <c r="AB14" s="26"/>
      <c r="AC14" s="26">
        <v>3</v>
      </c>
      <c r="AD14" s="26" t="s">
        <v>57</v>
      </c>
      <c r="AE14" s="26">
        <v>5</v>
      </c>
      <c r="AF14" s="26">
        <v>6</v>
      </c>
      <c r="AG14" s="26">
        <v>7</v>
      </c>
      <c r="AH14" s="26">
        <v>8</v>
      </c>
      <c r="AI14" s="26">
        <v>9</v>
      </c>
      <c r="AJ14" s="26" t="s">
        <v>58</v>
      </c>
      <c r="AK14" s="26" t="s">
        <v>59</v>
      </c>
      <c r="AL14" s="26" t="s">
        <v>60</v>
      </c>
      <c r="AM14" s="26" t="s">
        <v>61</v>
      </c>
      <c r="AN14" s="26" t="s">
        <v>62</v>
      </c>
      <c r="AO14" s="26" t="s">
        <v>63</v>
      </c>
      <c r="AP14" s="26">
        <v>11</v>
      </c>
      <c r="AQ14" s="26" t="s">
        <v>64</v>
      </c>
      <c r="AR14" s="26" t="s">
        <v>65</v>
      </c>
      <c r="AS14" s="26">
        <v>12</v>
      </c>
      <c r="AT14" s="26">
        <v>15</v>
      </c>
      <c r="AU14" s="26">
        <v>16</v>
      </c>
      <c r="AV14" s="26" t="s">
        <v>66</v>
      </c>
      <c r="AW14" s="26">
        <v>17</v>
      </c>
      <c r="AX14" s="26">
        <v>18</v>
      </c>
      <c r="AY14" s="26">
        <v>19</v>
      </c>
      <c r="AZ14" s="26">
        <v>20</v>
      </c>
      <c r="BA14" s="26">
        <v>21</v>
      </c>
      <c r="BB14" s="26">
        <v>22</v>
      </c>
      <c r="BC14" s="35" t="s">
        <v>67</v>
      </c>
    </row>
    <row r="15" spans="1:55" ht="37.15" customHeight="1" x14ac:dyDescent="0.2">
      <c r="A15" s="37" t="s">
        <v>68</v>
      </c>
      <c r="B15" s="366"/>
      <c r="C15" s="368"/>
      <c r="D15" s="38"/>
      <c r="E15" s="372"/>
      <c r="F15" s="373"/>
      <c r="G15" s="373"/>
      <c r="H15" s="373"/>
      <c r="I15" s="373"/>
      <c r="J15" s="373"/>
      <c r="K15" s="373"/>
      <c r="L15" s="373"/>
      <c r="M15" s="373"/>
      <c r="N15" s="373"/>
      <c r="O15" s="374"/>
      <c r="P15" s="39" t="s">
        <v>69</v>
      </c>
      <c r="X15" s="35"/>
      <c r="Y15" s="40" t="s">
        <v>70</v>
      </c>
      <c r="Z15" s="26"/>
      <c r="AA15" s="36"/>
      <c r="AB15" s="36"/>
      <c r="AC15" s="36"/>
      <c r="AD15" s="36"/>
      <c r="AE15" s="36" t="s">
        <v>71</v>
      </c>
      <c r="AF15" s="36" t="s">
        <v>72</v>
      </c>
      <c r="AG15" s="36" t="s">
        <v>73</v>
      </c>
      <c r="AH15" s="36" t="s">
        <v>74</v>
      </c>
      <c r="AI15" s="36"/>
      <c r="AJ15" s="36"/>
      <c r="AK15" s="36"/>
      <c r="AL15" s="36"/>
      <c r="AM15" s="36"/>
      <c r="AN15" s="36"/>
      <c r="AO15" s="36"/>
      <c r="AP15" s="36" t="s">
        <v>71</v>
      </c>
      <c r="AQ15" s="36"/>
      <c r="AR15" s="36"/>
      <c r="AS15" s="36" t="s">
        <v>75</v>
      </c>
      <c r="AT15" s="36"/>
      <c r="AU15" s="36" t="s">
        <v>74</v>
      </c>
      <c r="AV15" s="36"/>
      <c r="AW15" s="36" t="s">
        <v>74</v>
      </c>
      <c r="AX15" s="36"/>
      <c r="AY15" s="36" t="s">
        <v>75</v>
      </c>
      <c r="AZ15" s="36" t="s">
        <v>75</v>
      </c>
      <c r="BA15" s="36" t="s">
        <v>75</v>
      </c>
      <c r="BB15" s="36" t="s">
        <v>75</v>
      </c>
      <c r="BC15" s="36"/>
    </row>
    <row r="16" spans="1:55" ht="32.450000000000003" hidden="1" customHeight="1" x14ac:dyDescent="0.2">
      <c r="A16" s="41" t="s">
        <v>76</v>
      </c>
      <c r="B16" s="42">
        <v>210</v>
      </c>
      <c r="C16" s="43"/>
      <c r="D16" s="44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6">
        <f>P17+P21</f>
        <v>0</v>
      </c>
      <c r="X16" s="35"/>
      <c r="Y16" s="40" t="s">
        <v>77</v>
      </c>
      <c r="Z16" s="2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 t="s">
        <v>78</v>
      </c>
      <c r="AQ16" s="36"/>
      <c r="AR16" s="36"/>
      <c r="AS16" s="36" t="s">
        <v>78</v>
      </c>
      <c r="AT16" s="36"/>
      <c r="AU16" s="26">
        <v>303</v>
      </c>
      <c r="AV16" s="26"/>
      <c r="AW16" s="26">
        <v>539</v>
      </c>
      <c r="AX16" s="36"/>
      <c r="AY16" s="36" t="s">
        <v>79</v>
      </c>
      <c r="AZ16" s="36" t="s">
        <v>79</v>
      </c>
      <c r="BA16" s="36" t="s">
        <v>80</v>
      </c>
      <c r="BB16" s="36" t="s">
        <v>81</v>
      </c>
      <c r="BC16" s="36"/>
    </row>
    <row r="17" spans="1:55" ht="26.45" hidden="1" customHeight="1" x14ac:dyDescent="0.2">
      <c r="A17" s="47" t="s">
        <v>82</v>
      </c>
      <c r="B17" s="48">
        <v>211</v>
      </c>
      <c r="C17" s="49"/>
      <c r="D17" s="50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2">
        <f>SUM(P18:P19)</f>
        <v>0</v>
      </c>
      <c r="X17" s="35"/>
      <c r="Y17" s="40" t="s">
        <v>83</v>
      </c>
      <c r="Z17" s="26"/>
      <c r="AA17" s="26"/>
      <c r="AB17" s="26"/>
      <c r="AC17" s="26"/>
      <c r="AD17" s="26"/>
      <c r="AE17" s="26"/>
      <c r="AF17" s="26"/>
      <c r="AG17" s="26"/>
      <c r="AH17" s="26"/>
      <c r="AI17" s="53"/>
      <c r="AJ17" s="26"/>
      <c r="AK17" s="26"/>
      <c r="AL17" s="26"/>
      <c r="AM17" s="26"/>
      <c r="AN17" s="26"/>
      <c r="AO17" s="26"/>
      <c r="AP17" s="26"/>
      <c r="AQ17" s="26"/>
      <c r="AR17" s="26"/>
      <c r="AS17" s="36"/>
      <c r="AT17" s="26"/>
      <c r="AU17" s="26"/>
      <c r="AV17" s="26">
        <v>7000</v>
      </c>
      <c r="AW17" s="53"/>
      <c r="AX17" s="53"/>
      <c r="AY17" s="26"/>
      <c r="AZ17" s="26"/>
      <c r="BA17" s="26"/>
      <c r="BB17" s="26"/>
      <c r="BC17" s="26"/>
    </row>
    <row r="18" spans="1:55" ht="26.45" hidden="1" customHeight="1" x14ac:dyDescent="0.2">
      <c r="A18" s="54" t="s">
        <v>84</v>
      </c>
      <c r="B18" s="55"/>
      <c r="C18" s="56" t="s">
        <v>85</v>
      </c>
      <c r="D18" s="56"/>
      <c r="E18" s="57"/>
      <c r="F18" s="58" t="s">
        <v>86</v>
      </c>
      <c r="G18" s="57">
        <v>12</v>
      </c>
      <c r="H18" s="59" t="s">
        <v>87</v>
      </c>
      <c r="I18" s="57"/>
      <c r="J18" s="57"/>
      <c r="K18" s="57"/>
      <c r="L18" s="57"/>
      <c r="M18" s="57"/>
      <c r="N18" s="57"/>
      <c r="O18" s="57"/>
      <c r="P18" s="60">
        <f>I18</f>
        <v>0</v>
      </c>
      <c r="X18" s="35">
        <v>1</v>
      </c>
      <c r="Y18" s="61" t="s">
        <v>88</v>
      </c>
      <c r="Z18" s="53" t="s">
        <v>89</v>
      </c>
      <c r="AA18" s="53" t="s">
        <v>89</v>
      </c>
      <c r="AB18" s="53"/>
      <c r="AC18" s="53" t="s">
        <v>89</v>
      </c>
      <c r="AD18" s="53" t="s">
        <v>89</v>
      </c>
      <c r="AE18" s="53" t="s">
        <v>90</v>
      </c>
      <c r="AF18" s="53" t="s">
        <v>90</v>
      </c>
      <c r="AG18" s="53" t="s">
        <v>90</v>
      </c>
      <c r="AH18" s="53" t="s">
        <v>89</v>
      </c>
      <c r="AI18" s="53" t="s">
        <v>89</v>
      </c>
      <c r="AJ18" s="53" t="s">
        <v>89</v>
      </c>
      <c r="AK18" s="62">
        <f>AP18</f>
        <v>67600089.680000007</v>
      </c>
      <c r="AL18" s="62" t="e">
        <f>AS18+AU18+AX18+BA18+BB18</f>
        <v>#REF!</v>
      </c>
      <c r="AM18" s="62" t="e">
        <f>AV18</f>
        <v>#REF!</v>
      </c>
      <c r="AN18" s="62"/>
      <c r="AO18" s="62">
        <f>AP18+AS18</f>
        <v>67600089.680000007</v>
      </c>
      <c r="AP18" s="62">
        <f>67600089.68-AQ18</f>
        <v>67600089.680000007</v>
      </c>
      <c r="AQ18" s="62"/>
      <c r="AR18" s="62"/>
      <c r="AS18" s="62">
        <f>AS20</f>
        <v>0</v>
      </c>
      <c r="AT18" s="62" t="e">
        <f>AU18+AV18</f>
        <v>#REF!</v>
      </c>
      <c r="AU18" s="62" t="e">
        <f>AU20</f>
        <v>#REF!</v>
      </c>
      <c r="AV18" s="62" t="e">
        <f>AV20</f>
        <v>#REF!</v>
      </c>
      <c r="AW18" s="62"/>
      <c r="AX18" s="62">
        <f>AY18</f>
        <v>14478646.939999999</v>
      </c>
      <c r="AY18" s="62">
        <v>14478646.939999999</v>
      </c>
      <c r="AZ18" s="53"/>
      <c r="BA18" s="53"/>
      <c r="BB18" s="53"/>
      <c r="BC18" s="63"/>
    </row>
    <row r="19" spans="1:55" ht="19.899999999999999" hidden="1" customHeight="1" x14ac:dyDescent="0.2">
      <c r="A19" s="54" t="s">
        <v>91</v>
      </c>
      <c r="B19" s="55"/>
      <c r="C19" s="56" t="s">
        <v>92</v>
      </c>
      <c r="D19" s="56"/>
      <c r="E19" s="57"/>
      <c r="F19" s="58" t="s">
        <v>86</v>
      </c>
      <c r="G19" s="57">
        <v>12</v>
      </c>
      <c r="H19" s="59" t="s">
        <v>87</v>
      </c>
      <c r="I19" s="57"/>
      <c r="J19" s="57"/>
      <c r="K19" s="57"/>
      <c r="L19" s="57"/>
      <c r="M19" s="57"/>
      <c r="N19" s="57"/>
      <c r="O19" s="57"/>
      <c r="P19" s="60">
        <f>I19</f>
        <v>0</v>
      </c>
      <c r="X19" s="35" t="s">
        <v>93</v>
      </c>
      <c r="Y19" s="61" t="s">
        <v>94</v>
      </c>
      <c r="Z19" s="64" t="s">
        <v>89</v>
      </c>
      <c r="AA19" s="64" t="s">
        <v>89</v>
      </c>
      <c r="AB19" s="64" t="s">
        <v>89</v>
      </c>
      <c r="AC19" s="64" t="s">
        <v>89</v>
      </c>
      <c r="AD19" s="64" t="s">
        <v>89</v>
      </c>
      <c r="AE19" s="64" t="s">
        <v>89</v>
      </c>
      <c r="AF19" s="64" t="s">
        <v>89</v>
      </c>
      <c r="AG19" s="64" t="s">
        <v>89</v>
      </c>
      <c r="AH19" s="64" t="s">
        <v>89</v>
      </c>
      <c r="AI19" s="64" t="s">
        <v>89</v>
      </c>
      <c r="AJ19" s="64" t="s">
        <v>89</v>
      </c>
      <c r="AK19" s="62">
        <f>AK18-AK20</f>
        <v>0</v>
      </c>
      <c r="AL19" s="62" t="e">
        <f>AL18-AL20</f>
        <v>#REF!</v>
      </c>
      <c r="AM19" s="62" t="e">
        <f>AM18-AM20</f>
        <v>#REF!</v>
      </c>
      <c r="AN19" s="64" t="s">
        <v>89</v>
      </c>
      <c r="AO19" s="64" t="s">
        <v>89</v>
      </c>
      <c r="AP19" s="62">
        <f>AK19</f>
        <v>0</v>
      </c>
      <c r="AQ19" s="62"/>
      <c r="AR19" s="62"/>
      <c r="AS19" s="62"/>
      <c r="AT19" s="64" t="s">
        <v>89</v>
      </c>
      <c r="AU19" s="64" t="s">
        <v>89</v>
      </c>
      <c r="AV19" s="64"/>
      <c r="AW19" s="64" t="s">
        <v>89</v>
      </c>
      <c r="AX19" s="64" t="s">
        <v>89</v>
      </c>
      <c r="AY19" s="65">
        <f>AY20-AY18</f>
        <v>-230502.1799999997</v>
      </c>
      <c r="AZ19" s="64" t="s">
        <v>89</v>
      </c>
      <c r="BA19" s="64" t="s">
        <v>89</v>
      </c>
      <c r="BB19" s="64" t="s">
        <v>89</v>
      </c>
      <c r="BC19" s="64" t="s">
        <v>89</v>
      </c>
    </row>
    <row r="20" spans="1:55" ht="32.450000000000003" hidden="1" customHeight="1" x14ac:dyDescent="0.2">
      <c r="A20" s="54" t="s">
        <v>95</v>
      </c>
      <c r="B20" s="55"/>
      <c r="C20" s="56" t="s">
        <v>92</v>
      </c>
      <c r="D20" s="56"/>
      <c r="E20" s="57"/>
      <c r="F20" s="58" t="s">
        <v>86</v>
      </c>
      <c r="G20" s="57">
        <v>12</v>
      </c>
      <c r="H20" s="58" t="s">
        <v>86</v>
      </c>
      <c r="I20" s="57">
        <v>1.05</v>
      </c>
      <c r="J20" s="59" t="s">
        <v>87</v>
      </c>
      <c r="K20" s="57">
        <f>ROUND(E20*G20*I20,2)</f>
        <v>0</v>
      </c>
      <c r="L20" s="57"/>
      <c r="M20" s="57"/>
      <c r="N20" s="57"/>
      <c r="O20" s="57"/>
      <c r="P20" s="60">
        <f>K20</f>
        <v>0</v>
      </c>
      <c r="X20" s="35">
        <v>2</v>
      </c>
      <c r="Y20" s="61" t="s">
        <v>96</v>
      </c>
      <c r="Z20" s="26"/>
      <c r="AA20" s="26"/>
      <c r="AB20" s="26"/>
      <c r="AC20" s="63" t="s">
        <v>90</v>
      </c>
      <c r="AD20" s="63" t="s">
        <v>90</v>
      </c>
      <c r="AE20" s="63" t="s">
        <v>90</v>
      </c>
      <c r="AF20" s="63" t="s">
        <v>90</v>
      </c>
      <c r="AG20" s="63" t="s">
        <v>90</v>
      </c>
      <c r="AH20" s="63" t="s">
        <v>90</v>
      </c>
      <c r="AI20" s="63" t="e">
        <f>AI23+AI48</f>
        <v>#REF!</v>
      </c>
      <c r="AJ20" s="63" t="e">
        <f>AJ23+AJ48</f>
        <v>#REF!</v>
      </c>
      <c r="AK20" s="63">
        <f>AK21+AK22+AQ20</f>
        <v>67600089.680000007</v>
      </c>
      <c r="AL20" s="63" t="e">
        <f>AL23+AL48</f>
        <v>#REF!</v>
      </c>
      <c r="AM20" s="63" t="e">
        <f>AM23+AM48</f>
        <v>#REF!</v>
      </c>
      <c r="AN20" s="63">
        <f t="shared" ref="AN20:BC20" si="0">AN21+AN22</f>
        <v>0</v>
      </c>
      <c r="AO20" s="63">
        <f t="shared" si="0"/>
        <v>67600089.680000007</v>
      </c>
      <c r="AP20" s="63">
        <f t="shared" si="0"/>
        <v>65917177.68</v>
      </c>
      <c r="AQ20" s="63">
        <f t="shared" si="0"/>
        <v>1682912</v>
      </c>
      <c r="AR20" s="63">
        <f t="shared" si="0"/>
        <v>0</v>
      </c>
      <c r="AS20" s="63">
        <f t="shared" si="0"/>
        <v>0</v>
      </c>
      <c r="AT20" s="63" t="e">
        <f t="shared" si="0"/>
        <v>#REF!</v>
      </c>
      <c r="AU20" s="63" t="e">
        <f t="shared" si="0"/>
        <v>#REF!</v>
      </c>
      <c r="AV20" s="63" t="e">
        <f t="shared" si="0"/>
        <v>#REF!</v>
      </c>
      <c r="AW20" s="63">
        <f t="shared" si="0"/>
        <v>0</v>
      </c>
      <c r="AX20" s="63">
        <f>AX21+AX22+AX60</f>
        <v>14248144.76</v>
      </c>
      <c r="AY20" s="63">
        <f>AY21+AY22+AY60</f>
        <v>14248144.76</v>
      </c>
      <c r="AZ20" s="63">
        <f t="shared" si="0"/>
        <v>0</v>
      </c>
      <c r="BA20" s="63">
        <f t="shared" si="0"/>
        <v>4481952.45</v>
      </c>
      <c r="BB20" s="63">
        <f>BB23+BB48</f>
        <v>2377342</v>
      </c>
      <c r="BC20" s="63">
        <f t="shared" si="0"/>
        <v>0</v>
      </c>
    </row>
    <row r="21" spans="1:55" ht="40.9" hidden="1" customHeight="1" x14ac:dyDescent="0.2">
      <c r="A21" s="66" t="s">
        <v>97</v>
      </c>
      <c r="B21" s="67">
        <v>213</v>
      </c>
      <c r="C21" s="50"/>
      <c r="D21" s="50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2">
        <f>SUM(P22:P23)</f>
        <v>0</v>
      </c>
      <c r="X21" s="35">
        <v>3</v>
      </c>
      <c r="Y21" s="61" t="s">
        <v>98</v>
      </c>
      <c r="Z21" s="26"/>
      <c r="AA21" s="26"/>
      <c r="AB21" s="26"/>
      <c r="AC21" s="63" t="s">
        <v>90</v>
      </c>
      <c r="AD21" s="63" t="s">
        <v>90</v>
      </c>
      <c r="AE21" s="63" t="s">
        <v>90</v>
      </c>
      <c r="AF21" s="63" t="s">
        <v>90</v>
      </c>
      <c r="AG21" s="63" t="s">
        <v>90</v>
      </c>
      <c r="AH21" s="63" t="s">
        <v>90</v>
      </c>
      <c r="AI21" s="63">
        <f>AI24+AI27+AI49</f>
        <v>73115711.109999999</v>
      </c>
      <c r="AJ21" s="63">
        <f>AJ24+AJ27+AJ50+AJ56</f>
        <v>73115711.110000014</v>
      </c>
      <c r="AK21" s="63">
        <f>AK24+AK27+AK50+AK56-AQ21</f>
        <v>59157451.810000002</v>
      </c>
      <c r="AL21" s="63">
        <f>AL24+AL27+AL50+AL56</f>
        <v>12275347.300000001</v>
      </c>
      <c r="AM21" s="63"/>
      <c r="AN21" s="63">
        <f t="shared" ref="AN21:BC21" si="1">AN24+AN27+AN50+AN56</f>
        <v>0</v>
      </c>
      <c r="AO21" s="63">
        <f>AO24+AO27+AO50+AO56</f>
        <v>60840363.810000002</v>
      </c>
      <c r="AP21" s="63">
        <f t="shared" si="1"/>
        <v>59157451.810000002</v>
      </c>
      <c r="AQ21" s="63">
        <f t="shared" si="1"/>
        <v>1682912</v>
      </c>
      <c r="AR21" s="63">
        <f t="shared" si="1"/>
        <v>0</v>
      </c>
      <c r="AS21" s="63">
        <f t="shared" si="1"/>
        <v>0</v>
      </c>
      <c r="AT21" s="63">
        <f t="shared" si="1"/>
        <v>0</v>
      </c>
      <c r="AU21" s="63">
        <f t="shared" si="1"/>
        <v>0</v>
      </c>
      <c r="AV21" s="63"/>
      <c r="AW21" s="63">
        <f t="shared" si="1"/>
        <v>0</v>
      </c>
      <c r="AX21" s="63">
        <f>AX24+AX27+AX50+AX56</f>
        <v>7793394.8499999996</v>
      </c>
      <c r="AY21" s="63">
        <f>AY24+AY27+AY50+AY56</f>
        <v>7793394.8499999996</v>
      </c>
      <c r="AZ21" s="63">
        <f t="shared" si="1"/>
        <v>0</v>
      </c>
      <c r="BA21" s="63">
        <f t="shared" si="1"/>
        <v>4481952.45</v>
      </c>
      <c r="BB21" s="63">
        <f t="shared" si="1"/>
        <v>0</v>
      </c>
      <c r="BC21" s="63">
        <f t="shared" si="1"/>
        <v>0</v>
      </c>
    </row>
    <row r="22" spans="1:55" ht="37.15" hidden="1" customHeight="1" x14ac:dyDescent="0.2">
      <c r="A22" s="54" t="s">
        <v>99</v>
      </c>
      <c r="B22" s="68"/>
      <c r="C22" s="56" t="s">
        <v>100</v>
      </c>
      <c r="D22" s="56"/>
      <c r="E22" s="57"/>
      <c r="F22" s="58" t="s">
        <v>86</v>
      </c>
      <c r="G22" s="57">
        <v>12</v>
      </c>
      <c r="H22" s="59" t="s">
        <v>87</v>
      </c>
      <c r="I22" s="57">
        <f>ROUND(I18*0.302,2)</f>
        <v>0</v>
      </c>
      <c r="J22" s="57"/>
      <c r="K22" s="57"/>
      <c r="L22" s="57"/>
      <c r="M22" s="57"/>
      <c r="N22" s="57"/>
      <c r="O22" s="57"/>
      <c r="P22" s="60">
        <f>I22</f>
        <v>0</v>
      </c>
      <c r="X22" s="35">
        <v>4</v>
      </c>
      <c r="Y22" s="61" t="s">
        <v>101</v>
      </c>
      <c r="Z22" s="26"/>
      <c r="AA22" s="26"/>
      <c r="AB22" s="26"/>
      <c r="AC22" s="63" t="s">
        <v>90</v>
      </c>
      <c r="AD22" s="69">
        <f>AE22+AF22+AG22</f>
        <v>5</v>
      </c>
      <c r="AE22" s="69">
        <v>1</v>
      </c>
      <c r="AF22" s="69">
        <v>2</v>
      </c>
      <c r="AG22" s="69">
        <v>2</v>
      </c>
      <c r="AH22" s="63" t="s">
        <v>90</v>
      </c>
      <c r="AI22" s="63" t="e">
        <f>(AI23+AI48)-AI24-AI27-AI49-AI148-AI60</f>
        <v>#REF!</v>
      </c>
      <c r="AJ22" s="63" t="e">
        <f>(AJ23+AJ48)-AJ24-AJ27-AJ49-AJ148-AJ60</f>
        <v>#REF!</v>
      </c>
      <c r="AK22" s="63">
        <f>(AK23+AK48)-AK24-AK27-AK49-AK148-AK60</f>
        <v>6759725.8700000048</v>
      </c>
      <c r="AL22" s="63" t="e">
        <f>(AL23+AL48)-AL24-AL27-AL49-AL148-AL60</f>
        <v>#REF!</v>
      </c>
      <c r="AM22" s="63"/>
      <c r="AN22" s="63">
        <f t="shared" ref="AN22:BC22" si="2">(AN23+AN48)-AN24-AN27-AN49-AN148</f>
        <v>0</v>
      </c>
      <c r="AO22" s="63">
        <f t="shared" si="2"/>
        <v>6759725.8700000048</v>
      </c>
      <c r="AP22" s="63">
        <f t="shared" si="2"/>
        <v>6759725.8699999973</v>
      </c>
      <c r="AQ22" s="63">
        <f t="shared" si="2"/>
        <v>1.1641532182693481E-10</v>
      </c>
      <c r="AR22" s="63"/>
      <c r="AS22" s="63">
        <f t="shared" si="2"/>
        <v>0</v>
      </c>
      <c r="AT22" s="63" t="e">
        <f t="shared" si="2"/>
        <v>#REF!</v>
      </c>
      <c r="AU22" s="63" t="e">
        <f t="shared" si="2"/>
        <v>#REF!</v>
      </c>
      <c r="AV22" s="63" t="e">
        <f t="shared" si="2"/>
        <v>#REF!</v>
      </c>
      <c r="AW22" s="63">
        <f t="shared" si="2"/>
        <v>0</v>
      </c>
      <c r="AX22" s="63">
        <f>(AX23+AX48)-AX24-AX27-AX49-AX148-AX60</f>
        <v>1243593.9100000001</v>
      </c>
      <c r="AY22" s="63">
        <f>(AY23+AY48)-AY24-AY27-AY49-AY148-AY60</f>
        <v>1243593.9100000001</v>
      </c>
      <c r="AZ22" s="63">
        <f t="shared" si="2"/>
        <v>0</v>
      </c>
      <c r="BA22" s="63">
        <f t="shared" si="2"/>
        <v>0</v>
      </c>
      <c r="BB22" s="63">
        <f>(BB23+BB48)-BB24-BB27-BB49-BB148</f>
        <v>178000</v>
      </c>
      <c r="BC22" s="63">
        <f t="shared" si="2"/>
        <v>0</v>
      </c>
    </row>
    <row r="23" spans="1:55" ht="39.6" hidden="1" customHeight="1" x14ac:dyDescent="0.2">
      <c r="A23" s="54" t="s">
        <v>102</v>
      </c>
      <c r="B23" s="68"/>
      <c r="C23" s="56" t="s">
        <v>103</v>
      </c>
      <c r="D23" s="56"/>
      <c r="E23" s="57"/>
      <c r="F23" s="58" t="s">
        <v>86</v>
      </c>
      <c r="G23" s="57">
        <v>12</v>
      </c>
      <c r="H23" s="59" t="s">
        <v>87</v>
      </c>
      <c r="I23" s="57">
        <f>ROUND(I19*0.302,2)</f>
        <v>0</v>
      </c>
      <c r="J23" s="57"/>
      <c r="K23" s="57"/>
      <c r="L23" s="57"/>
      <c r="M23" s="57"/>
      <c r="N23" s="57"/>
      <c r="O23" s="57"/>
      <c r="P23" s="60">
        <f>I23</f>
        <v>0</v>
      </c>
      <c r="X23" s="70">
        <v>5</v>
      </c>
      <c r="Y23" s="71" t="s">
        <v>104</v>
      </c>
      <c r="Z23" s="72"/>
      <c r="AA23" s="72"/>
      <c r="AB23" s="72"/>
      <c r="AC23" s="73" t="s">
        <v>90</v>
      </c>
      <c r="AD23" s="73" t="s">
        <v>90</v>
      </c>
      <c r="AE23" s="73" t="s">
        <v>90</v>
      </c>
      <c r="AF23" s="73" t="s">
        <v>90</v>
      </c>
      <c r="AG23" s="73" t="s">
        <v>90</v>
      </c>
      <c r="AH23" s="73" t="s">
        <v>90</v>
      </c>
      <c r="AI23" s="73">
        <f t="shared" ref="AI23:AS23" si="3">AI24+AI27+AI30+AI34+AI36+AI39+AI41</f>
        <v>67600089.680000007</v>
      </c>
      <c r="AJ23" s="73">
        <f t="shared" si="3"/>
        <v>67600089.680000007</v>
      </c>
      <c r="AK23" s="73">
        <f t="shared" si="3"/>
        <v>67600089.680000007</v>
      </c>
      <c r="AL23" s="73">
        <f t="shared" si="3"/>
        <v>0</v>
      </c>
      <c r="AM23" s="73">
        <f t="shared" si="3"/>
        <v>0</v>
      </c>
      <c r="AN23" s="73">
        <f t="shared" si="3"/>
        <v>0</v>
      </c>
      <c r="AO23" s="73">
        <f t="shared" si="3"/>
        <v>67600089.680000007</v>
      </c>
      <c r="AP23" s="73">
        <f t="shared" si="3"/>
        <v>65917177.68</v>
      </c>
      <c r="AQ23" s="73">
        <f t="shared" si="3"/>
        <v>1682912</v>
      </c>
      <c r="AR23" s="73">
        <f t="shared" si="3"/>
        <v>0</v>
      </c>
      <c r="AS23" s="73">
        <f t="shared" si="3"/>
        <v>0</v>
      </c>
      <c r="AT23" s="64"/>
      <c r="AU23" s="64"/>
      <c r="AV23" s="64"/>
      <c r="AW23" s="64"/>
      <c r="AX23" s="64"/>
      <c r="AY23" s="73">
        <f>AY24+AY27+AY30+AY34+AY36+AY39+AY41</f>
        <v>0</v>
      </c>
      <c r="AZ23" s="73">
        <f>AZ24+AZ27+AZ30+AZ34+AZ36+AZ39+AZ41</f>
        <v>0</v>
      </c>
      <c r="BA23" s="73">
        <f>BA24+BA27+BA30+BA34+BA36+BA39+BA41</f>
        <v>0</v>
      </c>
      <c r="BB23" s="73">
        <f>BB24+BB27+BB30+BB34+BB36+BB39+BB41</f>
        <v>0</v>
      </c>
      <c r="BC23" s="73">
        <f>BC24+BC27+BC30+BC34+BC36+BC39+BC41</f>
        <v>0</v>
      </c>
    </row>
    <row r="24" spans="1:55" ht="41.45" hidden="1" customHeight="1" x14ac:dyDescent="0.2">
      <c r="A24" s="54" t="s">
        <v>105</v>
      </c>
      <c r="B24" s="74"/>
      <c r="C24" s="75" t="s">
        <v>103</v>
      </c>
      <c r="D24" s="56"/>
      <c r="E24" s="57"/>
      <c r="F24" s="58" t="s">
        <v>86</v>
      </c>
      <c r="G24" s="57">
        <v>12</v>
      </c>
      <c r="H24" s="58" t="s">
        <v>86</v>
      </c>
      <c r="I24" s="57">
        <v>1.05</v>
      </c>
      <c r="J24" s="59" t="s">
        <v>87</v>
      </c>
      <c r="K24" s="57">
        <f>ROUND(E24*G24*I24,2)</f>
        <v>0</v>
      </c>
      <c r="L24" s="57"/>
      <c r="M24" s="57"/>
      <c r="N24" s="57"/>
      <c r="O24" s="57"/>
      <c r="P24" s="60">
        <f>K24</f>
        <v>0</v>
      </c>
      <c r="X24" s="76">
        <v>6</v>
      </c>
      <c r="Y24" s="77" t="s">
        <v>106</v>
      </c>
      <c r="Z24" s="78"/>
      <c r="AA24" s="78"/>
      <c r="AB24" s="78"/>
      <c r="AC24" s="79" t="s">
        <v>90</v>
      </c>
      <c r="AD24" s="79" t="s">
        <v>90</v>
      </c>
      <c r="AE24" s="79" t="s">
        <v>90</v>
      </c>
      <c r="AF24" s="79" t="s">
        <v>90</v>
      </c>
      <c r="AG24" s="79" t="s">
        <v>90</v>
      </c>
      <c r="AH24" s="79" t="s">
        <v>90</v>
      </c>
      <c r="AI24" s="79">
        <f>SUM(AI25:AI26)</f>
        <v>46728390.020000003</v>
      </c>
      <c r="AJ24" s="79">
        <f t="shared" ref="AJ24:AS24" si="4">SUM(AJ25:AJ26)</f>
        <v>46728390.020000003</v>
      </c>
      <c r="AK24" s="79">
        <f t="shared" si="4"/>
        <v>46728390.020000003</v>
      </c>
      <c r="AL24" s="79">
        <f t="shared" si="4"/>
        <v>0</v>
      </c>
      <c r="AM24" s="79"/>
      <c r="AN24" s="79">
        <f t="shared" si="4"/>
        <v>0</v>
      </c>
      <c r="AO24" s="79">
        <f t="shared" si="4"/>
        <v>46728390.020000003</v>
      </c>
      <c r="AP24" s="79">
        <f t="shared" si="4"/>
        <v>45435830.880000003</v>
      </c>
      <c r="AQ24" s="79">
        <f t="shared" si="4"/>
        <v>1292559.1399999999</v>
      </c>
      <c r="AR24" s="79">
        <f t="shared" si="4"/>
        <v>0</v>
      </c>
      <c r="AS24" s="79">
        <f t="shared" si="4"/>
        <v>0</v>
      </c>
      <c r="AT24" s="64"/>
      <c r="AU24" s="80"/>
      <c r="AV24" s="80"/>
      <c r="AW24" s="80"/>
      <c r="AX24" s="64"/>
      <c r="AY24" s="80"/>
      <c r="AZ24" s="80"/>
      <c r="BA24" s="79"/>
      <c r="BB24" s="64"/>
      <c r="BC24" s="79"/>
    </row>
    <row r="25" spans="1:55" ht="24" customHeight="1" x14ac:dyDescent="0.2">
      <c r="A25" s="41" t="s">
        <v>107</v>
      </c>
      <c r="B25" s="81">
        <v>220</v>
      </c>
      <c r="C25" s="82"/>
      <c r="D25" s="44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83">
        <f>P26+P34+P39+P46+P98</f>
        <v>6571747.0100000007</v>
      </c>
      <c r="X25" s="35">
        <v>7</v>
      </c>
      <c r="Y25" s="61" t="s">
        <v>84</v>
      </c>
      <c r="Z25" s="84" t="s">
        <v>85</v>
      </c>
      <c r="AA25" s="85"/>
      <c r="AB25" s="85" t="s">
        <v>108</v>
      </c>
      <c r="AC25" s="63" t="s">
        <v>90</v>
      </c>
      <c r="AD25" s="63" t="s">
        <v>90</v>
      </c>
      <c r="AE25" s="53" t="s">
        <v>90</v>
      </c>
      <c r="AF25" s="63" t="s">
        <v>90</v>
      </c>
      <c r="AG25" s="53" t="s">
        <v>89</v>
      </c>
      <c r="AH25" s="53" t="s">
        <v>89</v>
      </c>
      <c r="AI25" s="53">
        <f>39352157.76+AQ25</f>
        <v>40644716.899999999</v>
      </c>
      <c r="AJ25" s="63">
        <f>AK25+AL25+AN25</f>
        <v>40644716.899999999</v>
      </c>
      <c r="AK25" s="63">
        <f>AP25+AQ25</f>
        <v>40644716.899999999</v>
      </c>
      <c r="AL25" s="63">
        <f>AS25+AU25+AX25+BA25+BB25</f>
        <v>0</v>
      </c>
      <c r="AM25" s="63"/>
      <c r="AN25" s="63"/>
      <c r="AO25" s="63">
        <f>AP25+AS25+AQ25+AR25</f>
        <v>40644716.899999999</v>
      </c>
      <c r="AP25" s="53">
        <f>AI25-AQ25</f>
        <v>39352157.759999998</v>
      </c>
      <c r="AQ25" s="53">
        <v>1292559.1399999999</v>
      </c>
      <c r="AR25" s="53"/>
      <c r="AS25" s="53"/>
      <c r="AT25" s="64"/>
      <c r="AU25" s="80"/>
      <c r="AV25" s="80"/>
      <c r="AW25" s="80"/>
      <c r="AX25" s="64"/>
      <c r="AY25" s="80"/>
      <c r="AZ25" s="80"/>
      <c r="BA25" s="63"/>
      <c r="BB25" s="64"/>
      <c r="BC25" s="63"/>
    </row>
    <row r="26" spans="1:55" ht="27.6" customHeight="1" x14ac:dyDescent="0.2">
      <c r="A26" s="47" t="s">
        <v>109</v>
      </c>
      <c r="B26" s="86">
        <v>221</v>
      </c>
      <c r="C26" s="87"/>
      <c r="D26" s="50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88">
        <f>SUM(O30+O29+O27+O28)</f>
        <v>75360</v>
      </c>
      <c r="P26" s="52">
        <f>SUM(P27:P33)</f>
        <v>37000</v>
      </c>
      <c r="X26" s="35">
        <v>8</v>
      </c>
      <c r="Y26" s="61" t="s">
        <v>91</v>
      </c>
      <c r="Z26" s="84" t="s">
        <v>92</v>
      </c>
      <c r="AA26" s="85"/>
      <c r="AB26" s="85" t="s">
        <v>108</v>
      </c>
      <c r="AC26" s="63" t="s">
        <v>90</v>
      </c>
      <c r="AD26" s="63" t="s">
        <v>90</v>
      </c>
      <c r="AE26" s="63" t="s">
        <v>90</v>
      </c>
      <c r="AF26" s="63" t="s">
        <v>90</v>
      </c>
      <c r="AG26" s="53" t="s">
        <v>89</v>
      </c>
      <c r="AH26" s="53" t="s">
        <v>89</v>
      </c>
      <c r="AI26" s="53">
        <v>6083673.1200000048</v>
      </c>
      <c r="AJ26" s="63">
        <f>AK26+AL26+AN26</f>
        <v>6083673.1200000048</v>
      </c>
      <c r="AK26" s="63">
        <f>AP26</f>
        <v>6083673.1200000048</v>
      </c>
      <c r="AL26" s="63">
        <f>AS26+AU26+AX26+BA26+BB26</f>
        <v>0</v>
      </c>
      <c r="AM26" s="63"/>
      <c r="AN26" s="63"/>
      <c r="AO26" s="63">
        <f>AP26+AS26+AQ26+AR26</f>
        <v>6083673.1200000048</v>
      </c>
      <c r="AP26" s="53">
        <f>AI26</f>
        <v>6083673.1200000048</v>
      </c>
      <c r="AQ26" s="53"/>
      <c r="AR26" s="53"/>
      <c r="AS26" s="53"/>
      <c r="AT26" s="64"/>
      <c r="AU26" s="80"/>
      <c r="AV26" s="80"/>
      <c r="AW26" s="80"/>
      <c r="AX26" s="64"/>
      <c r="AY26" s="80"/>
      <c r="AZ26" s="80"/>
      <c r="BA26" s="63"/>
      <c r="BB26" s="64"/>
      <c r="BC26" s="63"/>
    </row>
    <row r="27" spans="1:55" ht="18.75" customHeight="1" x14ac:dyDescent="0.2">
      <c r="A27" s="375" t="s">
        <v>110</v>
      </c>
      <c r="B27" s="89"/>
      <c r="C27" s="378" t="s">
        <v>111</v>
      </c>
      <c r="D27" s="90" t="s">
        <v>112</v>
      </c>
      <c r="E27" s="58">
        <f>C8</f>
        <v>6</v>
      </c>
      <c r="F27" s="58" t="s">
        <v>86</v>
      </c>
      <c r="G27" s="58">
        <v>435</v>
      </c>
      <c r="H27" s="58" t="s">
        <v>86</v>
      </c>
      <c r="I27" s="58">
        <v>12</v>
      </c>
      <c r="J27" s="58" t="s">
        <v>113</v>
      </c>
      <c r="K27" s="58">
        <v>1.18</v>
      </c>
      <c r="L27" s="58" t="s">
        <v>113</v>
      </c>
      <c r="M27" s="59">
        <v>1</v>
      </c>
      <c r="N27" s="59" t="s">
        <v>87</v>
      </c>
      <c r="O27" s="59">
        <f>ROUND(E27*G27*I27*K27*M27,0)</f>
        <v>36958</v>
      </c>
      <c r="P27" s="380">
        <v>37000</v>
      </c>
      <c r="X27" s="76">
        <v>9</v>
      </c>
      <c r="Y27" s="77" t="s">
        <v>114</v>
      </c>
      <c r="Z27" s="91"/>
      <c r="AA27" s="92"/>
      <c r="AB27" s="92"/>
      <c r="AC27" s="79" t="s">
        <v>90</v>
      </c>
      <c r="AD27" s="79" t="s">
        <v>90</v>
      </c>
      <c r="AE27" s="79" t="s">
        <v>90</v>
      </c>
      <c r="AF27" s="79" t="s">
        <v>90</v>
      </c>
      <c r="AG27" s="79" t="s">
        <v>90</v>
      </c>
      <c r="AH27" s="79" t="s">
        <v>90</v>
      </c>
      <c r="AI27" s="79">
        <f>SUM(AI28:AI29)</f>
        <v>14111973.789999999</v>
      </c>
      <c r="AJ27" s="79">
        <f t="shared" ref="AJ27:BC27" si="5">SUM(AJ28:AJ29)</f>
        <v>14111973.789999999</v>
      </c>
      <c r="AK27" s="79">
        <f t="shared" si="5"/>
        <v>14111973.789999999</v>
      </c>
      <c r="AL27" s="79">
        <f t="shared" si="5"/>
        <v>0</v>
      </c>
      <c r="AM27" s="79"/>
      <c r="AN27" s="79">
        <f t="shared" si="5"/>
        <v>0</v>
      </c>
      <c r="AO27" s="79">
        <f t="shared" si="5"/>
        <v>14111973.789999999</v>
      </c>
      <c r="AP27" s="79">
        <f t="shared" si="5"/>
        <v>13721620.93</v>
      </c>
      <c r="AQ27" s="79">
        <f t="shared" si="5"/>
        <v>390352.86</v>
      </c>
      <c r="AR27" s="79">
        <f t="shared" si="5"/>
        <v>0</v>
      </c>
      <c r="AS27" s="79">
        <f t="shared" si="5"/>
        <v>0</v>
      </c>
      <c r="AT27" s="79">
        <f t="shared" si="5"/>
        <v>0</v>
      </c>
      <c r="AU27" s="79">
        <f t="shared" si="5"/>
        <v>0</v>
      </c>
      <c r="AV27" s="79"/>
      <c r="AW27" s="79">
        <f t="shared" si="5"/>
        <v>0</v>
      </c>
      <c r="AX27" s="79">
        <f t="shared" si="5"/>
        <v>0</v>
      </c>
      <c r="AY27" s="79">
        <f t="shared" si="5"/>
        <v>0</v>
      </c>
      <c r="AZ27" s="79">
        <f t="shared" si="5"/>
        <v>0</v>
      </c>
      <c r="BA27" s="79">
        <f t="shared" si="5"/>
        <v>0</v>
      </c>
      <c r="BB27" s="79">
        <f t="shared" si="5"/>
        <v>0</v>
      </c>
      <c r="BC27" s="79">
        <f t="shared" si="5"/>
        <v>0</v>
      </c>
    </row>
    <row r="28" spans="1:55" ht="21" customHeight="1" x14ac:dyDescent="0.2">
      <c r="A28" s="376"/>
      <c r="B28" s="89"/>
      <c r="C28" s="378"/>
      <c r="D28" s="90" t="s">
        <v>115</v>
      </c>
      <c r="E28" s="58">
        <f>E27</f>
        <v>6</v>
      </c>
      <c r="F28" s="58" t="s">
        <v>86</v>
      </c>
      <c r="G28" s="58">
        <v>240</v>
      </c>
      <c r="H28" s="58" t="s">
        <v>86</v>
      </c>
      <c r="I28" s="58">
        <v>12</v>
      </c>
      <c r="J28" s="58" t="s">
        <v>113</v>
      </c>
      <c r="K28" s="58">
        <v>1.18</v>
      </c>
      <c r="L28" s="58" t="s">
        <v>113</v>
      </c>
      <c r="M28" s="59">
        <v>1</v>
      </c>
      <c r="N28" s="59" t="s">
        <v>87</v>
      </c>
      <c r="O28" s="59">
        <f>ROUND(E28*G28*I28*K28*M28,0)</f>
        <v>20390</v>
      </c>
      <c r="P28" s="381"/>
      <c r="X28" s="35">
        <v>10</v>
      </c>
      <c r="Y28" s="61" t="s">
        <v>99</v>
      </c>
      <c r="Z28" s="84" t="s">
        <v>100</v>
      </c>
      <c r="AA28" s="85"/>
      <c r="AB28" s="85" t="s">
        <v>116</v>
      </c>
      <c r="AC28" s="63" t="s">
        <v>90</v>
      </c>
      <c r="AD28" s="63" t="s">
        <v>90</v>
      </c>
      <c r="AE28" s="63" t="s">
        <v>90</v>
      </c>
      <c r="AF28" s="63" t="s">
        <v>90</v>
      </c>
      <c r="AG28" s="53" t="s">
        <v>89</v>
      </c>
      <c r="AH28" s="53" t="s">
        <v>89</v>
      </c>
      <c r="AI28" s="53">
        <f>ROUND(AI25*0.302,2)</f>
        <v>12274704.5</v>
      </c>
      <c r="AJ28" s="63">
        <f>AK28+AL28+AN28</f>
        <v>12274704.5</v>
      </c>
      <c r="AK28" s="63">
        <f>AP28+AQ28</f>
        <v>12274704.5</v>
      </c>
      <c r="AL28" s="63">
        <f>AS28+AU28+AX28+BA28+BB28</f>
        <v>0</v>
      </c>
      <c r="AM28" s="63"/>
      <c r="AN28" s="63">
        <f>AW28</f>
        <v>0</v>
      </c>
      <c r="AO28" s="53">
        <f>AP28+AS28+AQ28+AR28</f>
        <v>12274704.5</v>
      </c>
      <c r="AP28" s="63">
        <f>ROUND(AP25*0.302,2)</f>
        <v>11884351.640000001</v>
      </c>
      <c r="AQ28" s="63">
        <f>ROUND(AQ25*0.302,2)</f>
        <v>390352.86</v>
      </c>
      <c r="AR28" s="63">
        <f>ROUND(AR25*0.302,2)</f>
        <v>0</v>
      </c>
      <c r="AS28" s="53"/>
      <c r="AT28" s="64"/>
      <c r="AU28" s="80"/>
      <c r="AV28" s="80"/>
      <c r="AW28" s="80"/>
      <c r="AX28" s="64"/>
      <c r="AY28" s="80"/>
      <c r="AZ28" s="80"/>
      <c r="BA28" s="53"/>
      <c r="BB28" s="64"/>
      <c r="BC28" s="63"/>
    </row>
    <row r="29" spans="1:55" ht="30.75" customHeight="1" x14ac:dyDescent="0.2">
      <c r="A29" s="376"/>
      <c r="B29" s="93"/>
      <c r="C29" s="378"/>
      <c r="D29" s="90" t="s">
        <v>117</v>
      </c>
      <c r="E29" s="58">
        <f>E28</f>
        <v>6</v>
      </c>
      <c r="F29" s="58" t="s">
        <v>86</v>
      </c>
      <c r="G29" s="58">
        <v>25</v>
      </c>
      <c r="H29" s="58" t="s">
        <v>86</v>
      </c>
      <c r="I29" s="58">
        <v>12</v>
      </c>
      <c r="J29" s="58" t="s">
        <v>113</v>
      </c>
      <c r="K29" s="58">
        <v>1.18</v>
      </c>
      <c r="L29" s="58" t="s">
        <v>113</v>
      </c>
      <c r="M29" s="59">
        <v>1</v>
      </c>
      <c r="N29" s="59" t="s">
        <v>87</v>
      </c>
      <c r="O29" s="59">
        <f>ROUND(E29*G29*I29*K29*M29,0)</f>
        <v>2124</v>
      </c>
      <c r="P29" s="381"/>
      <c r="X29" s="35">
        <v>11</v>
      </c>
      <c r="Y29" s="61" t="s">
        <v>102</v>
      </c>
      <c r="Z29" s="84" t="s">
        <v>103</v>
      </c>
      <c r="AA29" s="85"/>
      <c r="AB29" s="85" t="s">
        <v>116</v>
      </c>
      <c r="AC29" s="63" t="s">
        <v>90</v>
      </c>
      <c r="AD29" s="63" t="s">
        <v>90</v>
      </c>
      <c r="AE29" s="63" t="s">
        <v>90</v>
      </c>
      <c r="AF29" s="63" t="s">
        <v>90</v>
      </c>
      <c r="AG29" s="53" t="s">
        <v>89</v>
      </c>
      <c r="AH29" s="53" t="s">
        <v>89</v>
      </c>
      <c r="AI29" s="53">
        <f>ROUND(AI26*0.302,2)+0.01</f>
        <v>1837269.29</v>
      </c>
      <c r="AJ29" s="63">
        <f>AK29+AL29+AN29</f>
        <v>1837269.29</v>
      </c>
      <c r="AK29" s="63">
        <f>AP29</f>
        <v>1837269.29</v>
      </c>
      <c r="AL29" s="63">
        <f>AS29+AU29+AX29+BA29+BB29</f>
        <v>0</v>
      </c>
      <c r="AM29" s="63"/>
      <c r="AN29" s="63">
        <f>AW29</f>
        <v>0</v>
      </c>
      <c r="AO29" s="53">
        <f>AP29+AS29+AQ29+AR29</f>
        <v>1837269.29</v>
      </c>
      <c r="AP29" s="63">
        <f>ROUND(AP26*0.302,2)+0.01</f>
        <v>1837269.29</v>
      </c>
      <c r="AQ29" s="63">
        <f>ROUND(AQ26*0.302,2)</f>
        <v>0</v>
      </c>
      <c r="AR29" s="63">
        <f>ROUND(AR26*0.302,2)</f>
        <v>0</v>
      </c>
      <c r="AS29" s="53"/>
      <c r="AT29" s="64"/>
      <c r="AU29" s="80"/>
      <c r="AV29" s="80"/>
      <c r="AW29" s="80"/>
      <c r="AX29" s="64"/>
      <c r="AY29" s="80"/>
      <c r="AZ29" s="80"/>
      <c r="BA29" s="53"/>
      <c r="BB29" s="64"/>
      <c r="BC29" s="63"/>
    </row>
    <row r="30" spans="1:55" ht="19.5" customHeight="1" x14ac:dyDescent="0.2">
      <c r="A30" s="377"/>
      <c r="B30" s="55"/>
      <c r="C30" s="379"/>
      <c r="D30" s="90" t="s">
        <v>118</v>
      </c>
      <c r="E30" s="58">
        <f>200+548</f>
        <v>748</v>
      </c>
      <c r="F30" s="58" t="s">
        <v>86</v>
      </c>
      <c r="G30" s="58">
        <v>1.5</v>
      </c>
      <c r="H30" s="58" t="s">
        <v>86</v>
      </c>
      <c r="I30" s="58">
        <v>12</v>
      </c>
      <c r="J30" s="58" t="s">
        <v>113</v>
      </c>
      <c r="K30" s="58">
        <v>1.18</v>
      </c>
      <c r="L30" s="58" t="s">
        <v>113</v>
      </c>
      <c r="M30" s="59">
        <v>1</v>
      </c>
      <c r="N30" s="59" t="s">
        <v>87</v>
      </c>
      <c r="O30" s="59">
        <f>ROUND(E30*G30*I30*K30*M30,0)</f>
        <v>15888</v>
      </c>
      <c r="P30" s="382"/>
      <c r="X30" s="94">
        <v>12</v>
      </c>
      <c r="Y30" s="95" t="s">
        <v>119</v>
      </c>
      <c r="Z30" s="96"/>
      <c r="AA30" s="97"/>
      <c r="AB30" s="97"/>
      <c r="AC30" s="98" t="s">
        <v>90</v>
      </c>
      <c r="AD30" s="98" t="s">
        <v>90</v>
      </c>
      <c r="AE30" s="98" t="s">
        <v>90</v>
      </c>
      <c r="AF30" s="98" t="s">
        <v>90</v>
      </c>
      <c r="AG30" s="98" t="s">
        <v>89</v>
      </c>
      <c r="AH30" s="98" t="s">
        <v>89</v>
      </c>
      <c r="AI30" s="98">
        <f>SUM(AI31:AI33)</f>
        <v>0</v>
      </c>
      <c r="AJ30" s="98">
        <f t="shared" ref="AJ30:AS30" si="6">SUM(AJ31:AJ33)</f>
        <v>0</v>
      </c>
      <c r="AK30" s="98">
        <f t="shared" si="6"/>
        <v>0</v>
      </c>
      <c r="AL30" s="98">
        <f t="shared" si="6"/>
        <v>0</v>
      </c>
      <c r="AM30" s="98"/>
      <c r="AN30" s="98">
        <f t="shared" si="6"/>
        <v>0</v>
      </c>
      <c r="AO30" s="98">
        <f t="shared" si="6"/>
        <v>0</v>
      </c>
      <c r="AP30" s="98">
        <f t="shared" si="6"/>
        <v>0</v>
      </c>
      <c r="AQ30" s="98">
        <f t="shared" si="6"/>
        <v>0</v>
      </c>
      <c r="AR30" s="98">
        <f t="shared" si="6"/>
        <v>0</v>
      </c>
      <c r="AS30" s="98">
        <f t="shared" si="6"/>
        <v>0</v>
      </c>
      <c r="AT30" s="80">
        <f t="shared" ref="AT30:BC30" si="7">AT31+AT32+AT33</f>
        <v>0</v>
      </c>
      <c r="AU30" s="80">
        <f t="shared" si="7"/>
        <v>0</v>
      </c>
      <c r="AV30" s="80"/>
      <c r="AW30" s="80">
        <f t="shared" si="7"/>
        <v>0</v>
      </c>
      <c r="AX30" s="80">
        <f t="shared" si="7"/>
        <v>0</v>
      </c>
      <c r="AY30" s="80">
        <f t="shared" si="7"/>
        <v>0</v>
      </c>
      <c r="AZ30" s="80">
        <f t="shared" si="7"/>
        <v>0</v>
      </c>
      <c r="BA30" s="80">
        <f t="shared" si="7"/>
        <v>0</v>
      </c>
      <c r="BB30" s="80">
        <f t="shared" si="7"/>
        <v>0</v>
      </c>
      <c r="BC30" s="98">
        <f t="shared" si="7"/>
        <v>0</v>
      </c>
    </row>
    <row r="31" spans="1:55" ht="27.6" customHeight="1" x14ac:dyDescent="0.25">
      <c r="A31" s="99" t="s">
        <v>120</v>
      </c>
      <c r="B31" s="55"/>
      <c r="C31" s="100" t="s">
        <v>121</v>
      </c>
      <c r="D31" s="101"/>
      <c r="E31" s="102"/>
      <c r="F31" s="102"/>
      <c r="G31" s="102"/>
      <c r="H31" s="102"/>
      <c r="I31" s="102"/>
      <c r="J31" s="102"/>
      <c r="K31" s="102"/>
      <c r="L31" s="102"/>
      <c r="M31" s="102"/>
      <c r="N31" s="102"/>
      <c r="O31" s="102"/>
      <c r="P31" s="60"/>
      <c r="X31" s="35">
        <v>13</v>
      </c>
      <c r="Y31" s="103" t="s">
        <v>122</v>
      </c>
      <c r="Z31" s="84" t="s">
        <v>123</v>
      </c>
      <c r="AA31" s="85"/>
      <c r="AB31" s="85" t="s">
        <v>124</v>
      </c>
      <c r="AC31" s="63" t="s">
        <v>90</v>
      </c>
      <c r="AD31" s="63" t="s">
        <v>90</v>
      </c>
      <c r="AE31" s="63" t="s">
        <v>90</v>
      </c>
      <c r="AF31" s="63" t="s">
        <v>90</v>
      </c>
      <c r="AG31" s="53" t="s">
        <v>89</v>
      </c>
      <c r="AH31" s="53" t="s">
        <v>89</v>
      </c>
      <c r="AI31" s="53"/>
      <c r="AJ31" s="63">
        <f>AK31+AL31+AN31</f>
        <v>0</v>
      </c>
      <c r="AK31" s="63">
        <f>AP31</f>
        <v>0</v>
      </c>
      <c r="AL31" s="63">
        <f>AS31+AU31+AX31+BA31+BB31</f>
        <v>0</v>
      </c>
      <c r="AM31" s="63"/>
      <c r="AN31" s="63">
        <f>AW31</f>
        <v>0</v>
      </c>
      <c r="AO31" s="53">
        <f>AP31+AS31</f>
        <v>0</v>
      </c>
      <c r="AP31" s="63">
        <f>AI31</f>
        <v>0</v>
      </c>
      <c r="AQ31" s="63"/>
      <c r="AR31" s="63"/>
      <c r="AS31" s="53"/>
      <c r="AT31" s="64"/>
      <c r="AU31" s="80"/>
      <c r="AV31" s="80"/>
      <c r="AW31" s="80"/>
      <c r="AX31" s="64"/>
      <c r="AY31" s="80"/>
      <c r="AZ31" s="80"/>
      <c r="BA31" s="64"/>
      <c r="BB31" s="64"/>
      <c r="BC31" s="63"/>
    </row>
    <row r="32" spans="1:55" ht="16.149999999999999" customHeight="1" x14ac:dyDescent="0.25">
      <c r="A32" s="104" t="s">
        <v>125</v>
      </c>
      <c r="B32" s="55"/>
      <c r="C32" s="100" t="s">
        <v>126</v>
      </c>
      <c r="D32" s="100"/>
      <c r="E32" s="102"/>
      <c r="F32" s="102"/>
      <c r="G32" s="102"/>
      <c r="H32" s="102"/>
      <c r="I32" s="102"/>
      <c r="J32" s="102"/>
      <c r="K32" s="102"/>
      <c r="L32" s="102"/>
      <c r="M32" s="102"/>
      <c r="N32" s="102"/>
      <c r="O32" s="102"/>
      <c r="P32" s="60"/>
      <c r="X32" s="35" t="s">
        <v>127</v>
      </c>
      <c r="Y32" s="105" t="s">
        <v>128</v>
      </c>
      <c r="Z32" s="84"/>
      <c r="AA32" s="85"/>
      <c r="AB32" s="85"/>
      <c r="AC32" s="63" t="s">
        <v>90</v>
      </c>
      <c r="AD32" s="63" t="s">
        <v>90</v>
      </c>
      <c r="AE32" s="63" t="s">
        <v>90</v>
      </c>
      <c r="AF32" s="63" t="s">
        <v>90</v>
      </c>
      <c r="AG32" s="63" t="s">
        <v>89</v>
      </c>
      <c r="AH32" s="63" t="s">
        <v>89</v>
      </c>
      <c r="AI32" s="63"/>
      <c r="AJ32" s="63">
        <f>AK32+AL32+AN32</f>
        <v>0</v>
      </c>
      <c r="AK32" s="63">
        <f>AP32</f>
        <v>0</v>
      </c>
      <c r="AL32" s="63">
        <f>AS32+AU32+AX32+BA32+BB32</f>
        <v>0</v>
      </c>
      <c r="AM32" s="63"/>
      <c r="AN32" s="63">
        <f t="shared" ref="AN32:AN47" si="8">AW32</f>
        <v>0</v>
      </c>
      <c r="AO32" s="53">
        <f>AP32+AS32</f>
        <v>0</v>
      </c>
      <c r="AP32" s="63">
        <f>AI32</f>
        <v>0</v>
      </c>
      <c r="AQ32" s="63"/>
      <c r="AR32" s="63"/>
      <c r="AS32" s="63"/>
      <c r="AT32" s="64"/>
      <c r="AU32" s="80"/>
      <c r="AV32" s="80"/>
      <c r="AW32" s="80"/>
      <c r="AX32" s="64"/>
      <c r="AY32" s="80"/>
      <c r="AZ32" s="80"/>
      <c r="BA32" s="64"/>
      <c r="BB32" s="64"/>
      <c r="BC32" s="63">
        <f>AN32-AJ32</f>
        <v>0</v>
      </c>
    </row>
    <row r="33" spans="1:55" ht="15.6" customHeight="1" x14ac:dyDescent="0.25">
      <c r="A33" s="106" t="s">
        <v>129</v>
      </c>
      <c r="B33" s="55"/>
      <c r="C33" s="100" t="s">
        <v>130</v>
      </c>
      <c r="D33" s="101"/>
      <c r="E33" s="107"/>
      <c r="F33" s="107"/>
      <c r="G33" s="107"/>
      <c r="H33" s="107"/>
      <c r="I33" s="108"/>
      <c r="J33" s="108"/>
      <c r="K33" s="109"/>
      <c r="L33" s="102"/>
      <c r="M33" s="102"/>
      <c r="N33" s="102"/>
      <c r="O33" s="102"/>
      <c r="P33" s="60"/>
      <c r="X33" s="35" t="s">
        <v>131</v>
      </c>
      <c r="Y33" s="103" t="s">
        <v>132</v>
      </c>
      <c r="Z33" s="84"/>
      <c r="AA33" s="85"/>
      <c r="AB33" s="85" t="s">
        <v>133</v>
      </c>
      <c r="AC33" s="63" t="s">
        <v>90</v>
      </c>
      <c r="AD33" s="63" t="s">
        <v>90</v>
      </c>
      <c r="AE33" s="63" t="s">
        <v>90</v>
      </c>
      <c r="AF33" s="63" t="s">
        <v>90</v>
      </c>
      <c r="AG33" s="53" t="s">
        <v>89</v>
      </c>
      <c r="AH33" s="53" t="s">
        <v>89</v>
      </c>
      <c r="AI33" s="53"/>
      <c r="AJ33" s="63">
        <f>AK33+AL33+AN33</f>
        <v>0</v>
      </c>
      <c r="AK33" s="63">
        <f>AP33</f>
        <v>0</v>
      </c>
      <c r="AL33" s="63">
        <f>AS33+AU33+AX33+BA33+BB33</f>
        <v>0</v>
      </c>
      <c r="AM33" s="63"/>
      <c r="AN33" s="63">
        <f t="shared" si="8"/>
        <v>0</v>
      </c>
      <c r="AO33" s="53">
        <f>AP33+AS33</f>
        <v>0</v>
      </c>
      <c r="AP33" s="63">
        <f>AI33</f>
        <v>0</v>
      </c>
      <c r="AQ33" s="63"/>
      <c r="AR33" s="63"/>
      <c r="AS33" s="53"/>
      <c r="AT33" s="64"/>
      <c r="AU33" s="80"/>
      <c r="AV33" s="80"/>
      <c r="AW33" s="80"/>
      <c r="AX33" s="64"/>
      <c r="AY33" s="80"/>
      <c r="AZ33" s="80"/>
      <c r="BA33" s="64"/>
      <c r="BB33" s="110"/>
      <c r="BC33" s="63">
        <f>AN33-AJ33</f>
        <v>0</v>
      </c>
    </row>
    <row r="34" spans="1:55" ht="25.15" hidden="1" customHeight="1" x14ac:dyDescent="0.2">
      <c r="A34" s="111" t="s">
        <v>134</v>
      </c>
      <c r="B34" s="67">
        <v>222</v>
      </c>
      <c r="C34" s="50"/>
      <c r="D34" s="50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2">
        <f>SUM(P35:P38)</f>
        <v>0</v>
      </c>
      <c r="X34" s="94">
        <v>14</v>
      </c>
      <c r="Y34" s="112" t="s">
        <v>135</v>
      </c>
      <c r="Z34" s="96"/>
      <c r="AA34" s="113"/>
      <c r="AB34" s="113"/>
      <c r="AC34" s="98" t="s">
        <v>90</v>
      </c>
      <c r="AD34" s="98" t="s">
        <v>90</v>
      </c>
      <c r="AE34" s="98" t="s">
        <v>90</v>
      </c>
      <c r="AF34" s="98" t="s">
        <v>90</v>
      </c>
      <c r="AG34" s="98" t="s">
        <v>89</v>
      </c>
      <c r="AH34" s="98" t="s">
        <v>89</v>
      </c>
      <c r="AI34" s="98">
        <f>AI35</f>
        <v>0</v>
      </c>
      <c r="AJ34" s="98">
        <f>AJ35</f>
        <v>0</v>
      </c>
      <c r="AK34" s="98">
        <f t="shared" ref="AK34:BB34" si="9">AK35</f>
        <v>0</v>
      </c>
      <c r="AL34" s="98">
        <f t="shared" si="9"/>
        <v>0</v>
      </c>
      <c r="AM34" s="98"/>
      <c r="AN34" s="98">
        <f t="shared" si="9"/>
        <v>0</v>
      </c>
      <c r="AO34" s="98">
        <f t="shared" si="9"/>
        <v>0</v>
      </c>
      <c r="AP34" s="98">
        <f t="shared" si="9"/>
        <v>0</v>
      </c>
      <c r="AQ34" s="98">
        <f t="shared" si="9"/>
        <v>0</v>
      </c>
      <c r="AR34" s="98">
        <f t="shared" si="9"/>
        <v>0</v>
      </c>
      <c r="AS34" s="98">
        <f t="shared" si="9"/>
        <v>0</v>
      </c>
      <c r="AT34" s="114">
        <f t="shared" si="9"/>
        <v>0</v>
      </c>
      <c r="AU34" s="114">
        <f t="shared" si="9"/>
        <v>0</v>
      </c>
      <c r="AV34" s="114"/>
      <c r="AW34" s="114">
        <f t="shared" si="9"/>
        <v>0</v>
      </c>
      <c r="AX34" s="114">
        <f t="shared" si="9"/>
        <v>0</v>
      </c>
      <c r="AY34" s="114">
        <f t="shared" si="9"/>
        <v>0</v>
      </c>
      <c r="AZ34" s="114">
        <f t="shared" si="9"/>
        <v>0</v>
      </c>
      <c r="BA34" s="114">
        <f t="shared" si="9"/>
        <v>0</v>
      </c>
      <c r="BB34" s="114">
        <f t="shared" si="9"/>
        <v>0</v>
      </c>
      <c r="BC34" s="98"/>
    </row>
    <row r="35" spans="1:55" ht="27.6" hidden="1" customHeight="1" x14ac:dyDescent="0.2">
      <c r="A35" s="115" t="s">
        <v>136</v>
      </c>
      <c r="B35" s="55"/>
      <c r="C35" s="116" t="s">
        <v>137</v>
      </c>
      <c r="D35" s="116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60"/>
      <c r="X35" s="35">
        <v>15</v>
      </c>
      <c r="Y35" s="61" t="s">
        <v>138</v>
      </c>
      <c r="Z35" s="84" t="s">
        <v>139</v>
      </c>
      <c r="AA35" s="85"/>
      <c r="AB35" s="85" t="s">
        <v>140</v>
      </c>
      <c r="AC35" s="63" t="s">
        <v>90</v>
      </c>
      <c r="AD35" s="63" t="s">
        <v>90</v>
      </c>
      <c r="AE35" s="63" t="s">
        <v>90</v>
      </c>
      <c r="AF35" s="63" t="s">
        <v>90</v>
      </c>
      <c r="AG35" s="53" t="s">
        <v>89</v>
      </c>
      <c r="AH35" s="53" t="s">
        <v>89</v>
      </c>
      <c r="AI35" s="53"/>
      <c r="AJ35" s="63">
        <f>AK35+AL35+AN35</f>
        <v>0</v>
      </c>
      <c r="AK35" s="63">
        <f>AP35</f>
        <v>0</v>
      </c>
      <c r="AL35" s="63">
        <f>AS35+AU35+AX35+BA35+BB35</f>
        <v>0</v>
      </c>
      <c r="AM35" s="63"/>
      <c r="AN35" s="63">
        <f t="shared" si="8"/>
        <v>0</v>
      </c>
      <c r="AO35" s="53">
        <f>AP35+AS35</f>
        <v>0</v>
      </c>
      <c r="AP35" s="63">
        <f>AI35</f>
        <v>0</v>
      </c>
      <c r="AQ35" s="63"/>
      <c r="AR35" s="63"/>
      <c r="AS35" s="53"/>
      <c r="AT35" s="64"/>
      <c r="AU35" s="80"/>
      <c r="AV35" s="80"/>
      <c r="AW35" s="80"/>
      <c r="AX35" s="64"/>
      <c r="AY35" s="80"/>
      <c r="AZ35" s="80"/>
      <c r="BA35" s="64"/>
      <c r="BB35" s="64"/>
      <c r="BC35" s="63"/>
    </row>
    <row r="36" spans="1:55" ht="23.45" hidden="1" customHeight="1" x14ac:dyDescent="0.2">
      <c r="A36" s="115" t="s">
        <v>141</v>
      </c>
      <c r="B36" s="55"/>
      <c r="C36" s="116" t="s">
        <v>142</v>
      </c>
      <c r="D36" s="116"/>
      <c r="E36" s="117"/>
      <c r="F36" s="117" t="s">
        <v>86</v>
      </c>
      <c r="G36" s="117"/>
      <c r="H36" s="117" t="s">
        <v>87</v>
      </c>
      <c r="I36" s="117">
        <f>ROUND(E36*G36,1)</f>
        <v>0</v>
      </c>
      <c r="J36" s="118"/>
      <c r="K36" s="57"/>
      <c r="L36" s="57"/>
      <c r="M36" s="57"/>
      <c r="N36" s="57"/>
      <c r="O36" s="57"/>
      <c r="P36" s="60"/>
      <c r="X36" s="94">
        <v>16</v>
      </c>
      <c r="Y36" s="95" t="s">
        <v>143</v>
      </c>
      <c r="Z36" s="119"/>
      <c r="AA36" s="120"/>
      <c r="AB36" s="120"/>
      <c r="AC36" s="98" t="s">
        <v>90</v>
      </c>
      <c r="AD36" s="98" t="s">
        <v>90</v>
      </c>
      <c r="AE36" s="98" t="s">
        <v>90</v>
      </c>
      <c r="AF36" s="98" t="s">
        <v>90</v>
      </c>
      <c r="AG36" s="98" t="s">
        <v>90</v>
      </c>
      <c r="AH36" s="98" t="s">
        <v>90</v>
      </c>
      <c r="AI36" s="98">
        <f>SUM(AI37:AI38)</f>
        <v>716900</v>
      </c>
      <c r="AJ36" s="98">
        <f t="shared" ref="AJ36:BB36" si="10">SUM(AJ37:AJ38)</f>
        <v>716900</v>
      </c>
      <c r="AK36" s="98">
        <f t="shared" si="10"/>
        <v>716900</v>
      </c>
      <c r="AL36" s="98">
        <f t="shared" si="10"/>
        <v>0</v>
      </c>
      <c r="AM36" s="98"/>
      <c r="AN36" s="98">
        <f t="shared" si="10"/>
        <v>0</v>
      </c>
      <c r="AO36" s="62">
        <f t="shared" si="10"/>
        <v>716900</v>
      </c>
      <c r="AP36" s="62">
        <f t="shared" si="10"/>
        <v>716900</v>
      </c>
      <c r="AQ36" s="98">
        <f t="shared" si="10"/>
        <v>0</v>
      </c>
      <c r="AR36" s="98">
        <f t="shared" si="10"/>
        <v>0</v>
      </c>
      <c r="AS36" s="98">
        <f t="shared" si="10"/>
        <v>0</v>
      </c>
      <c r="AT36" s="114">
        <f t="shared" si="10"/>
        <v>0</v>
      </c>
      <c r="AU36" s="114">
        <f t="shared" si="10"/>
        <v>0</v>
      </c>
      <c r="AV36" s="114"/>
      <c r="AW36" s="114">
        <f t="shared" si="10"/>
        <v>0</v>
      </c>
      <c r="AX36" s="114">
        <f t="shared" si="10"/>
        <v>0</v>
      </c>
      <c r="AY36" s="114">
        <f t="shared" si="10"/>
        <v>0</v>
      </c>
      <c r="AZ36" s="114">
        <f t="shared" si="10"/>
        <v>0</v>
      </c>
      <c r="BA36" s="114">
        <f t="shared" si="10"/>
        <v>0</v>
      </c>
      <c r="BB36" s="114">
        <f t="shared" si="10"/>
        <v>0</v>
      </c>
      <c r="BC36" s="98"/>
    </row>
    <row r="37" spans="1:55" ht="21.75" hidden="1" customHeight="1" x14ac:dyDescent="0.2">
      <c r="A37" s="115" t="s">
        <v>144</v>
      </c>
      <c r="B37" s="55"/>
      <c r="C37" s="116" t="s">
        <v>145</v>
      </c>
      <c r="D37" s="116"/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60"/>
      <c r="X37" s="35">
        <v>17</v>
      </c>
      <c r="Y37" s="103" t="s">
        <v>146</v>
      </c>
      <c r="Z37" s="36" t="s">
        <v>147</v>
      </c>
      <c r="AA37" s="121"/>
      <c r="AB37" s="121" t="s">
        <v>148</v>
      </c>
      <c r="AC37" s="63" t="s">
        <v>90</v>
      </c>
      <c r="AD37" s="63" t="s">
        <v>90</v>
      </c>
      <c r="AE37" s="63" t="s">
        <v>90</v>
      </c>
      <c r="AF37" s="63" t="s">
        <v>90</v>
      </c>
      <c r="AG37" s="53" t="s">
        <v>89</v>
      </c>
      <c r="AH37" s="53" t="s">
        <v>89</v>
      </c>
      <c r="AI37" s="53">
        <v>600000</v>
      </c>
      <c r="AJ37" s="63">
        <f>AK37+AL37+AN37</f>
        <v>600000</v>
      </c>
      <c r="AK37" s="63">
        <f>AP37</f>
        <v>600000</v>
      </c>
      <c r="AL37" s="63">
        <f>AS37+AU37+AX37+BA37+BB37</f>
        <v>0</v>
      </c>
      <c r="AM37" s="63"/>
      <c r="AN37" s="63">
        <f t="shared" si="8"/>
        <v>0</v>
      </c>
      <c r="AO37" s="53">
        <f>AP37+AS37</f>
        <v>600000</v>
      </c>
      <c r="AP37" s="63">
        <f>AI37</f>
        <v>600000</v>
      </c>
      <c r="AQ37" s="63"/>
      <c r="AR37" s="63"/>
      <c r="AS37" s="53"/>
      <c r="AT37" s="64"/>
      <c r="AU37" s="80"/>
      <c r="AV37" s="80"/>
      <c r="AW37" s="80"/>
      <c r="AX37" s="64"/>
      <c r="AY37" s="80"/>
      <c r="AZ37" s="80"/>
      <c r="BA37" s="64"/>
      <c r="BB37" s="122"/>
      <c r="BC37" s="63"/>
    </row>
    <row r="38" spans="1:55" ht="26.45" hidden="1" customHeight="1" x14ac:dyDescent="0.2">
      <c r="A38" s="115" t="s">
        <v>149</v>
      </c>
      <c r="B38" s="55"/>
      <c r="C38" s="116" t="s">
        <v>150</v>
      </c>
      <c r="D38" s="116"/>
      <c r="E38" s="123"/>
      <c r="F38" s="123" t="s">
        <v>86</v>
      </c>
      <c r="G38" s="123">
        <v>12</v>
      </c>
      <c r="H38" s="124" t="s">
        <v>87</v>
      </c>
      <c r="I38" s="123">
        <f>ROUND(E38*G38,1)</f>
        <v>0</v>
      </c>
      <c r="J38" s="57"/>
      <c r="K38" s="57"/>
      <c r="L38" s="57"/>
      <c r="M38" s="57"/>
      <c r="N38" s="57"/>
      <c r="O38" s="57"/>
      <c r="P38" s="60"/>
      <c r="X38" s="35">
        <v>18</v>
      </c>
      <c r="Y38" s="61" t="s">
        <v>151</v>
      </c>
      <c r="Z38" s="84" t="s">
        <v>152</v>
      </c>
      <c r="AA38" s="85"/>
      <c r="AB38" s="85" t="s">
        <v>148</v>
      </c>
      <c r="AC38" s="63" t="s">
        <v>90</v>
      </c>
      <c r="AD38" s="63" t="s">
        <v>90</v>
      </c>
      <c r="AE38" s="63" t="s">
        <v>90</v>
      </c>
      <c r="AF38" s="63" t="s">
        <v>90</v>
      </c>
      <c r="AG38" s="53" t="s">
        <v>89</v>
      </c>
      <c r="AH38" s="53" t="s">
        <v>89</v>
      </c>
      <c r="AI38" s="53">
        <v>116900</v>
      </c>
      <c r="AJ38" s="63">
        <f>AK38+AL38+AN38</f>
        <v>116900</v>
      </c>
      <c r="AK38" s="63">
        <f>AP38</f>
        <v>116900</v>
      </c>
      <c r="AL38" s="63">
        <f>AS38+AU38+AX38+BA38+BB38</f>
        <v>0</v>
      </c>
      <c r="AM38" s="63"/>
      <c r="AN38" s="63">
        <f t="shared" si="8"/>
        <v>0</v>
      </c>
      <c r="AO38" s="53">
        <f>AP38+AS38</f>
        <v>116900</v>
      </c>
      <c r="AP38" s="63">
        <f>AI38-BB38</f>
        <v>116900</v>
      </c>
      <c r="AQ38" s="63"/>
      <c r="AR38" s="63"/>
      <c r="AS38" s="53"/>
      <c r="AT38" s="64"/>
      <c r="AU38" s="80"/>
      <c r="AV38" s="80"/>
      <c r="AW38" s="80"/>
      <c r="AX38" s="64"/>
      <c r="AY38" s="80"/>
      <c r="AZ38" s="80"/>
      <c r="BA38" s="64"/>
      <c r="BB38" s="122"/>
      <c r="BC38" s="63"/>
    </row>
    <row r="39" spans="1:55" ht="27.6" customHeight="1" x14ac:dyDescent="0.2">
      <c r="A39" s="111" t="s">
        <v>153</v>
      </c>
      <c r="B39" s="67">
        <v>223</v>
      </c>
      <c r="C39" s="125"/>
      <c r="D39" s="50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2">
        <f>SUM(P40:P45)</f>
        <v>5730607.9000000004</v>
      </c>
      <c r="X39" s="94">
        <v>19</v>
      </c>
      <c r="Y39" s="112" t="s">
        <v>154</v>
      </c>
      <c r="Z39" s="96"/>
      <c r="AA39" s="113"/>
      <c r="AB39" s="113"/>
      <c r="AC39" s="98" t="s">
        <v>90</v>
      </c>
      <c r="AD39" s="98" t="s">
        <v>90</v>
      </c>
      <c r="AE39" s="98" t="s">
        <v>90</v>
      </c>
      <c r="AF39" s="98" t="s">
        <v>90</v>
      </c>
      <c r="AG39" s="98" t="s">
        <v>89</v>
      </c>
      <c r="AH39" s="98" t="s">
        <v>89</v>
      </c>
      <c r="AI39" s="98">
        <f>SUM(AI40)</f>
        <v>0</v>
      </c>
      <c r="AJ39" s="98">
        <f t="shared" ref="AJ39:BB39" si="11">SUM(AJ40)</f>
        <v>0</v>
      </c>
      <c r="AK39" s="98">
        <f t="shared" si="11"/>
        <v>0</v>
      </c>
      <c r="AL39" s="98">
        <f t="shared" si="11"/>
        <v>0</v>
      </c>
      <c r="AM39" s="98"/>
      <c r="AN39" s="98">
        <f t="shared" si="11"/>
        <v>0</v>
      </c>
      <c r="AO39" s="98">
        <f t="shared" si="11"/>
        <v>0</v>
      </c>
      <c r="AP39" s="98">
        <f t="shared" si="11"/>
        <v>0</v>
      </c>
      <c r="AQ39" s="98">
        <f t="shared" si="11"/>
        <v>0</v>
      </c>
      <c r="AR39" s="98">
        <f t="shared" si="11"/>
        <v>0</v>
      </c>
      <c r="AS39" s="98">
        <f t="shared" si="11"/>
        <v>0</v>
      </c>
      <c r="AT39" s="114">
        <f t="shared" si="11"/>
        <v>0</v>
      </c>
      <c r="AU39" s="114">
        <f t="shared" si="11"/>
        <v>0</v>
      </c>
      <c r="AV39" s="114"/>
      <c r="AW39" s="114">
        <f t="shared" si="11"/>
        <v>0</v>
      </c>
      <c r="AX39" s="114">
        <f t="shared" si="11"/>
        <v>0</v>
      </c>
      <c r="AY39" s="114">
        <f t="shared" si="11"/>
        <v>0</v>
      </c>
      <c r="AZ39" s="114">
        <f t="shared" si="11"/>
        <v>0</v>
      </c>
      <c r="BA39" s="114">
        <f t="shared" si="11"/>
        <v>0</v>
      </c>
      <c r="BB39" s="114">
        <f t="shared" si="11"/>
        <v>0</v>
      </c>
      <c r="BC39" s="98"/>
    </row>
    <row r="40" spans="1:55" ht="19.149999999999999" customHeight="1" x14ac:dyDescent="0.2">
      <c r="A40" s="115" t="s">
        <v>155</v>
      </c>
      <c r="B40" s="55"/>
      <c r="C40" s="116" t="s">
        <v>156</v>
      </c>
      <c r="D40" s="116"/>
      <c r="E40" s="57"/>
      <c r="F40" s="57"/>
      <c r="G40" s="57"/>
      <c r="H40" s="57"/>
      <c r="I40" s="57"/>
      <c r="J40" s="57"/>
      <c r="K40" s="57"/>
      <c r="L40" s="57"/>
      <c r="M40" s="57"/>
      <c r="N40" s="57"/>
      <c r="O40" s="57"/>
      <c r="P40" s="126">
        <f>1817088+201898</f>
        <v>2018986</v>
      </c>
      <c r="X40" s="35">
        <v>20</v>
      </c>
      <c r="Y40" s="103" t="s">
        <v>157</v>
      </c>
      <c r="Z40" s="36" t="s">
        <v>158</v>
      </c>
      <c r="AA40" s="121"/>
      <c r="AB40" s="121" t="s">
        <v>159</v>
      </c>
      <c r="AC40" s="63" t="s">
        <v>90</v>
      </c>
      <c r="AD40" s="63" t="s">
        <v>90</v>
      </c>
      <c r="AE40" s="63" t="s">
        <v>90</v>
      </c>
      <c r="AF40" s="63" t="s">
        <v>90</v>
      </c>
      <c r="AG40" s="53" t="s">
        <v>89</v>
      </c>
      <c r="AH40" s="53" t="s">
        <v>89</v>
      </c>
      <c r="AI40" s="53"/>
      <c r="AJ40" s="63">
        <f>AK40+AL40+AN40</f>
        <v>0</v>
      </c>
      <c r="AK40" s="63">
        <f>AP40</f>
        <v>0</v>
      </c>
      <c r="AL40" s="63">
        <f>AS40+AU40+AX40+BA40+BB40</f>
        <v>0</v>
      </c>
      <c r="AM40" s="63"/>
      <c r="AN40" s="63">
        <f t="shared" si="8"/>
        <v>0</v>
      </c>
      <c r="AO40" s="53">
        <f>AP40+AS40</f>
        <v>0</v>
      </c>
      <c r="AP40" s="63">
        <f>AI40</f>
        <v>0</v>
      </c>
      <c r="AQ40" s="63"/>
      <c r="AR40" s="63"/>
      <c r="AS40" s="53"/>
      <c r="AT40" s="64"/>
      <c r="AU40" s="80"/>
      <c r="AV40" s="80"/>
      <c r="AW40" s="80"/>
      <c r="AX40" s="64"/>
      <c r="AY40" s="80"/>
      <c r="AZ40" s="80"/>
      <c r="BA40" s="64"/>
      <c r="BB40" s="64"/>
      <c r="BC40" s="63"/>
    </row>
    <row r="41" spans="1:55" ht="19.149999999999999" customHeight="1" x14ac:dyDescent="0.2">
      <c r="A41" s="115" t="s">
        <v>160</v>
      </c>
      <c r="B41" s="55"/>
      <c r="C41" s="116" t="s">
        <v>161</v>
      </c>
      <c r="D41" s="116"/>
      <c r="E41" s="57"/>
      <c r="F41" s="57"/>
      <c r="G41" s="57"/>
      <c r="H41" s="57"/>
      <c r="I41" s="57"/>
      <c r="J41" s="57"/>
      <c r="K41" s="57"/>
      <c r="L41" s="57"/>
      <c r="M41" s="57"/>
      <c r="N41" s="57"/>
      <c r="O41" s="57"/>
      <c r="P41" s="126">
        <f>2555534+283948</f>
        <v>2839482</v>
      </c>
      <c r="X41" s="94">
        <v>21</v>
      </c>
      <c r="Y41" s="112" t="s">
        <v>162</v>
      </c>
      <c r="Z41" s="96"/>
      <c r="AA41" s="97"/>
      <c r="AB41" s="97"/>
      <c r="AC41" s="98" t="s">
        <v>90</v>
      </c>
      <c r="AD41" s="98" t="s">
        <v>90</v>
      </c>
      <c r="AE41" s="98" t="s">
        <v>90</v>
      </c>
      <c r="AF41" s="98" t="s">
        <v>90</v>
      </c>
      <c r="AG41" s="98" t="s">
        <v>90</v>
      </c>
      <c r="AH41" s="98" t="s">
        <v>90</v>
      </c>
      <c r="AI41" s="98">
        <f>SUM(AI42:AI46)</f>
        <v>6042825.8700000001</v>
      </c>
      <c r="AJ41" s="98">
        <f>SUM(AJ42:AJ46)</f>
        <v>6042825.8700000001</v>
      </c>
      <c r="AK41" s="98">
        <f>SUM(AK42:AK46)</f>
        <v>6042825.8700000001</v>
      </c>
      <c r="AL41" s="98">
        <f t="shared" ref="AL41:AR41" si="12">SUM(AL42:AL46)</f>
        <v>0</v>
      </c>
      <c r="AM41" s="98"/>
      <c r="AN41" s="98">
        <f t="shared" si="12"/>
        <v>0</v>
      </c>
      <c r="AO41" s="98">
        <f>SUM(AO42:AO46)</f>
        <v>6042825.8700000001</v>
      </c>
      <c r="AP41" s="98">
        <f>SUM(AP42:AP46)</f>
        <v>6042825.8700000001</v>
      </c>
      <c r="AQ41" s="98">
        <f t="shared" si="12"/>
        <v>0</v>
      </c>
      <c r="AR41" s="98">
        <f t="shared" si="12"/>
        <v>0</v>
      </c>
      <c r="AS41" s="98">
        <f>SUM(AS42:AS46)</f>
        <v>0</v>
      </c>
      <c r="AT41" s="64"/>
      <c r="AU41" s="80"/>
      <c r="AV41" s="80"/>
      <c r="AW41" s="80"/>
      <c r="AX41" s="64"/>
      <c r="AY41" s="80"/>
      <c r="AZ41" s="80"/>
      <c r="BA41" s="64"/>
      <c r="BB41" s="64"/>
      <c r="BC41" s="98"/>
    </row>
    <row r="42" spans="1:55" ht="19.149999999999999" customHeight="1" x14ac:dyDescent="0.2">
      <c r="A42" s="115" t="s">
        <v>163</v>
      </c>
      <c r="B42" s="55"/>
      <c r="C42" s="116">
        <v>223003</v>
      </c>
      <c r="D42" s="116"/>
      <c r="E42" s="57"/>
      <c r="F42" s="57"/>
      <c r="G42" s="57"/>
      <c r="H42" s="57"/>
      <c r="I42" s="57"/>
      <c r="J42" s="57"/>
      <c r="K42" s="57"/>
      <c r="L42" s="57"/>
      <c r="M42" s="57"/>
      <c r="N42" s="57"/>
      <c r="O42" s="57"/>
      <c r="P42" s="127"/>
      <c r="X42" s="35">
        <v>22</v>
      </c>
      <c r="Y42" s="61" t="s">
        <v>164</v>
      </c>
      <c r="Z42" s="84" t="s">
        <v>165</v>
      </c>
      <c r="AA42" s="85"/>
      <c r="AB42" s="85" t="s">
        <v>166</v>
      </c>
      <c r="AC42" s="63" t="s">
        <v>90</v>
      </c>
      <c r="AD42" s="63" t="s">
        <v>90</v>
      </c>
      <c r="AE42" s="63" t="s">
        <v>90</v>
      </c>
      <c r="AF42" s="63" t="s">
        <v>90</v>
      </c>
      <c r="AG42" s="53" t="s">
        <v>89</v>
      </c>
      <c r="AH42" s="53" t="s">
        <v>89</v>
      </c>
      <c r="AI42" s="53">
        <v>50500</v>
      </c>
      <c r="AJ42" s="63">
        <f>AK42+AL42+AN42</f>
        <v>50500</v>
      </c>
      <c r="AK42" s="63">
        <f>AP42</f>
        <v>50500</v>
      </c>
      <c r="AL42" s="63">
        <f>AS42+AU42+AX42+BA42+BB42</f>
        <v>0</v>
      </c>
      <c r="AM42" s="63"/>
      <c r="AN42" s="63">
        <f t="shared" si="8"/>
        <v>0</v>
      </c>
      <c r="AO42" s="53">
        <f>AP42+AS42</f>
        <v>50500</v>
      </c>
      <c r="AP42" s="63">
        <f>AI42</f>
        <v>50500</v>
      </c>
      <c r="AQ42" s="63"/>
      <c r="AR42" s="63"/>
      <c r="AS42" s="63"/>
      <c r="AT42" s="64"/>
      <c r="AU42" s="80"/>
      <c r="AV42" s="80"/>
      <c r="AW42" s="80"/>
      <c r="AX42" s="64"/>
      <c r="AY42" s="80"/>
      <c r="AZ42" s="80"/>
      <c r="BA42" s="64"/>
      <c r="BB42" s="64"/>
      <c r="BC42" s="63"/>
    </row>
    <row r="43" spans="1:55" ht="19.149999999999999" customHeight="1" x14ac:dyDescent="0.2">
      <c r="A43" s="115" t="s">
        <v>167</v>
      </c>
      <c r="B43" s="55"/>
      <c r="C43" s="116" t="s">
        <v>168</v>
      </c>
      <c r="D43" s="116"/>
      <c r="E43" s="57"/>
      <c r="F43" s="57"/>
      <c r="G43" s="57"/>
      <c r="H43" s="57"/>
      <c r="I43" s="57"/>
      <c r="J43" s="57"/>
      <c r="K43" s="57"/>
      <c r="L43" s="57"/>
      <c r="M43" s="57"/>
      <c r="N43" s="57"/>
      <c r="O43" s="57"/>
      <c r="P43" s="126">
        <f>317420+35268</f>
        <v>352688</v>
      </c>
      <c r="X43" s="35">
        <v>23</v>
      </c>
      <c r="Y43" s="61" t="s">
        <v>169</v>
      </c>
      <c r="Z43" s="84" t="s">
        <v>170</v>
      </c>
      <c r="AA43" s="85"/>
      <c r="AB43" s="85" t="s">
        <v>166</v>
      </c>
      <c r="AC43" s="63" t="s">
        <v>90</v>
      </c>
      <c r="AD43" s="63" t="s">
        <v>90</v>
      </c>
      <c r="AE43" s="63" t="s">
        <v>90</v>
      </c>
      <c r="AF43" s="63" t="s">
        <v>90</v>
      </c>
      <c r="AG43" s="53" t="s">
        <v>89</v>
      </c>
      <c r="AH43" s="53" t="s">
        <v>89</v>
      </c>
      <c r="AI43" s="53">
        <v>368400</v>
      </c>
      <c r="AJ43" s="63">
        <f>AK43+AL43+AN43</f>
        <v>368400</v>
      </c>
      <c r="AK43" s="63">
        <f>AP43</f>
        <v>368400</v>
      </c>
      <c r="AL43" s="63">
        <f>AS43+AU43+AX43+BA43+BB43</f>
        <v>0</v>
      </c>
      <c r="AM43" s="63"/>
      <c r="AN43" s="63">
        <f t="shared" si="8"/>
        <v>0</v>
      </c>
      <c r="AO43" s="53">
        <f>AP43+AS43</f>
        <v>368400</v>
      </c>
      <c r="AP43" s="63">
        <f>AI43</f>
        <v>368400</v>
      </c>
      <c r="AQ43" s="63"/>
      <c r="AR43" s="63"/>
      <c r="AS43" s="63"/>
      <c r="AT43" s="64"/>
      <c r="AU43" s="80"/>
      <c r="AV43" s="80"/>
      <c r="AW43" s="80"/>
      <c r="AX43" s="64"/>
      <c r="AY43" s="80"/>
      <c r="AZ43" s="80"/>
      <c r="BA43" s="64"/>
      <c r="BB43" s="64"/>
      <c r="BC43" s="63"/>
    </row>
    <row r="44" spans="1:55" ht="19.149999999999999" customHeight="1" x14ac:dyDescent="0.2">
      <c r="A44" s="128" t="s">
        <v>171</v>
      </c>
      <c r="B44" s="55"/>
      <c r="C44" s="116">
        <v>223017</v>
      </c>
      <c r="D44" s="116"/>
      <c r="E44" s="58">
        <f>C5</f>
        <v>1801</v>
      </c>
      <c r="F44" s="58" t="s">
        <v>86</v>
      </c>
      <c r="G44" s="117">
        <v>0.53</v>
      </c>
      <c r="H44" s="58" t="s">
        <v>86</v>
      </c>
      <c r="I44" s="58">
        <v>1.071</v>
      </c>
      <c r="J44" s="58" t="s">
        <v>113</v>
      </c>
      <c r="K44" s="58">
        <v>508.12</v>
      </c>
      <c r="L44" s="58" t="s">
        <v>87</v>
      </c>
      <c r="M44" s="129">
        <f>ROUND(E44*G44*I44*K44,2)</f>
        <v>519451.9</v>
      </c>
      <c r="N44" s="58"/>
      <c r="O44" s="130"/>
      <c r="P44" s="131">
        <f>M44</f>
        <v>519451.9</v>
      </c>
      <c r="X44" s="35"/>
      <c r="Y44" s="61"/>
      <c r="Z44" s="84"/>
      <c r="AA44" s="85"/>
      <c r="AB44" s="85"/>
      <c r="AC44" s="63"/>
      <c r="AD44" s="63"/>
      <c r="AE44" s="63"/>
      <c r="AF44" s="63"/>
      <c r="AG44" s="53"/>
      <c r="AH44" s="53"/>
      <c r="AI44" s="53"/>
      <c r="AJ44" s="63"/>
      <c r="AK44" s="63"/>
      <c r="AL44" s="63"/>
      <c r="AM44" s="63"/>
      <c r="AN44" s="63"/>
      <c r="AO44" s="53"/>
      <c r="AP44" s="63"/>
      <c r="AQ44" s="63"/>
      <c r="AR44" s="63"/>
      <c r="AS44" s="63"/>
      <c r="AT44" s="64"/>
      <c r="AU44" s="80"/>
      <c r="AV44" s="80"/>
      <c r="AW44" s="80"/>
      <c r="AX44" s="64"/>
      <c r="AY44" s="80"/>
      <c r="AZ44" s="80"/>
      <c r="BA44" s="64"/>
      <c r="BB44" s="64"/>
      <c r="BC44" s="63"/>
    </row>
    <row r="45" spans="1:55" ht="19.149999999999999" customHeight="1" x14ac:dyDescent="0.2">
      <c r="A45" s="128" t="s">
        <v>172</v>
      </c>
      <c r="B45" s="55"/>
      <c r="C45" s="116">
        <v>223099</v>
      </c>
      <c r="D45" s="116"/>
      <c r="E45" s="57"/>
      <c r="F45" s="57"/>
      <c r="G45" s="57"/>
      <c r="H45" s="57"/>
      <c r="I45" s="57"/>
      <c r="J45" s="57"/>
      <c r="K45" s="57"/>
      <c r="L45" s="57"/>
      <c r="M45" s="57"/>
      <c r="N45" s="57"/>
      <c r="O45" s="57"/>
      <c r="P45" s="127"/>
      <c r="X45" s="35"/>
      <c r="Y45" s="61"/>
      <c r="Z45" s="84"/>
      <c r="AA45" s="85"/>
      <c r="AB45" s="85"/>
      <c r="AC45" s="63"/>
      <c r="AD45" s="63"/>
      <c r="AE45" s="63"/>
      <c r="AF45" s="63"/>
      <c r="AG45" s="53"/>
      <c r="AH45" s="53"/>
      <c r="AI45" s="53"/>
      <c r="AJ45" s="63"/>
      <c r="AK45" s="63"/>
      <c r="AL45" s="63"/>
      <c r="AM45" s="63"/>
      <c r="AN45" s="63"/>
      <c r="AO45" s="53"/>
      <c r="AP45" s="63"/>
      <c r="AQ45" s="63"/>
      <c r="AR45" s="63"/>
      <c r="AS45" s="63"/>
      <c r="AT45" s="64"/>
      <c r="AU45" s="80"/>
      <c r="AV45" s="80"/>
      <c r="AW45" s="80"/>
      <c r="AX45" s="64"/>
      <c r="AY45" s="80"/>
      <c r="AZ45" s="80"/>
      <c r="BA45" s="64"/>
      <c r="BB45" s="64"/>
      <c r="BC45" s="63"/>
    </row>
    <row r="46" spans="1:55" ht="35.450000000000003" customHeight="1" x14ac:dyDescent="0.2">
      <c r="A46" s="111" t="s">
        <v>173</v>
      </c>
      <c r="B46" s="67">
        <v>225</v>
      </c>
      <c r="C46" s="50"/>
      <c r="D46" s="50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2">
        <f>P52+P65+P67+P68+P69+P71+P72+P73+P82+P81+P87+P93+P94+P70</f>
        <v>671542.11</v>
      </c>
      <c r="X46" s="35">
        <v>24</v>
      </c>
      <c r="Y46" s="103" t="s">
        <v>174</v>
      </c>
      <c r="Z46" s="84" t="s">
        <v>175</v>
      </c>
      <c r="AA46" s="85"/>
      <c r="AB46" s="85" t="s">
        <v>166</v>
      </c>
      <c r="AC46" s="63" t="s">
        <v>90</v>
      </c>
      <c r="AD46" s="63" t="s">
        <v>90</v>
      </c>
      <c r="AE46" s="63" t="s">
        <v>90</v>
      </c>
      <c r="AF46" s="63" t="s">
        <v>90</v>
      </c>
      <c r="AG46" s="53" t="s">
        <v>89</v>
      </c>
      <c r="AH46" s="53" t="s">
        <v>89</v>
      </c>
      <c r="AI46" s="53">
        <f>4200+5619725.87</f>
        <v>5623925.8700000001</v>
      </c>
      <c r="AJ46" s="63">
        <f>AK46+AL46+AN46</f>
        <v>5623925.8700000001</v>
      </c>
      <c r="AK46" s="63">
        <f>AP46</f>
        <v>5623925.8700000001</v>
      </c>
      <c r="AL46" s="63">
        <f>AS46+AU46+AX46+BA46+BB46</f>
        <v>0</v>
      </c>
      <c r="AM46" s="63"/>
      <c r="AN46" s="63">
        <f t="shared" si="8"/>
        <v>0</v>
      </c>
      <c r="AO46" s="53">
        <f>AP46+AR46</f>
        <v>5623925.8700000001</v>
      </c>
      <c r="AP46" s="63">
        <f>AI46</f>
        <v>5623925.8700000001</v>
      </c>
      <c r="AQ46" s="63"/>
      <c r="AR46" s="63">
        <f>AL46</f>
        <v>0</v>
      </c>
      <c r="AS46" s="63"/>
      <c r="AT46" s="64"/>
      <c r="AU46" s="80"/>
      <c r="AV46" s="80"/>
      <c r="AW46" s="80"/>
      <c r="AX46" s="64"/>
      <c r="AY46" s="80"/>
      <c r="AZ46" s="80"/>
      <c r="BA46" s="64"/>
      <c r="BB46" s="64"/>
      <c r="BC46" s="63"/>
    </row>
    <row r="47" spans="1:55" ht="35.450000000000003" hidden="1" customHeight="1" x14ac:dyDescent="0.2">
      <c r="A47" s="132" t="s">
        <v>176</v>
      </c>
      <c r="B47" s="133"/>
      <c r="C47" s="134" t="s">
        <v>177</v>
      </c>
      <c r="D47" s="134"/>
      <c r="E47" s="135"/>
      <c r="F47" s="135"/>
      <c r="G47" s="135"/>
      <c r="H47" s="135"/>
      <c r="I47" s="135"/>
      <c r="J47" s="135"/>
      <c r="K47" s="135"/>
      <c r="L47" s="135"/>
      <c r="M47" s="135"/>
      <c r="N47" s="135"/>
      <c r="O47" s="135"/>
      <c r="P47" s="136">
        <f>P48+P49+P50+P51</f>
        <v>0</v>
      </c>
      <c r="X47" s="35">
        <v>25</v>
      </c>
      <c r="Y47" s="103" t="s">
        <v>178</v>
      </c>
      <c r="Z47" s="84" t="s">
        <v>175</v>
      </c>
      <c r="AA47" s="85"/>
      <c r="AB47" s="85" t="s">
        <v>166</v>
      </c>
      <c r="AC47" s="63" t="s">
        <v>90</v>
      </c>
      <c r="AD47" s="63" t="s">
        <v>90</v>
      </c>
      <c r="AE47" s="63" t="s">
        <v>90</v>
      </c>
      <c r="AF47" s="63" t="s">
        <v>90</v>
      </c>
      <c r="AG47" s="53" t="s">
        <v>89</v>
      </c>
      <c r="AH47" s="53" t="s">
        <v>89</v>
      </c>
      <c r="AI47" s="53">
        <v>4200</v>
      </c>
      <c r="AJ47" s="63">
        <f>AK47+AL47+AN47</f>
        <v>4200</v>
      </c>
      <c r="AK47" s="63">
        <f>AP47</f>
        <v>4200</v>
      </c>
      <c r="AL47" s="63">
        <f>AS47+AU47+AX47+BA47+BB47</f>
        <v>0</v>
      </c>
      <c r="AM47" s="63"/>
      <c r="AN47" s="63">
        <f t="shared" si="8"/>
        <v>0</v>
      </c>
      <c r="AO47" s="53">
        <f>AP47+AS47</f>
        <v>4200</v>
      </c>
      <c r="AP47" s="63">
        <f>AI47</f>
        <v>4200</v>
      </c>
      <c r="AQ47" s="63"/>
      <c r="AR47" s="63"/>
      <c r="AS47" s="63"/>
      <c r="AT47" s="53"/>
      <c r="AU47" s="137"/>
      <c r="AV47" s="137"/>
      <c r="AW47" s="137"/>
      <c r="AX47" s="53"/>
      <c r="AY47" s="137"/>
      <c r="AZ47" s="137"/>
      <c r="BA47" s="53"/>
      <c r="BB47" s="53"/>
      <c r="BC47" s="63"/>
    </row>
    <row r="48" spans="1:55" ht="16.899999999999999" hidden="1" customHeight="1" x14ac:dyDescent="0.2">
      <c r="A48" s="138" t="s">
        <v>179</v>
      </c>
      <c r="B48" s="55"/>
      <c r="C48" s="116"/>
      <c r="D48" s="116"/>
      <c r="E48" s="139"/>
      <c r="F48" s="117" t="s">
        <v>86</v>
      </c>
      <c r="G48" s="117">
        <v>12</v>
      </c>
      <c r="H48" s="117" t="s">
        <v>86</v>
      </c>
      <c r="I48" s="117"/>
      <c r="J48" s="117" t="s">
        <v>87</v>
      </c>
      <c r="K48" s="117"/>
      <c r="L48" s="117"/>
      <c r="M48" s="117"/>
      <c r="N48" s="57"/>
      <c r="O48" s="57"/>
      <c r="P48" s="140"/>
      <c r="X48" s="70">
        <v>26</v>
      </c>
      <c r="Y48" s="71" t="s">
        <v>180</v>
      </c>
      <c r="Z48" s="72"/>
      <c r="AA48" s="141"/>
      <c r="AB48" s="141"/>
      <c r="AC48" s="73" t="s">
        <v>90</v>
      </c>
      <c r="AD48" s="73" t="s">
        <v>90</v>
      </c>
      <c r="AE48" s="73" t="s">
        <v>90</v>
      </c>
      <c r="AF48" s="73" t="s">
        <v>90</v>
      </c>
      <c r="AG48" s="73" t="s">
        <v>90</v>
      </c>
      <c r="AH48" s="73" t="s">
        <v>90</v>
      </c>
      <c r="AI48" s="73" t="e">
        <f>AI49+AI60+AI69+AI74+AI81+AI100+AI117+AI120+AI124+AI128+AI130+AI133+AI136+AI146+AI148+AI138</f>
        <v>#REF!</v>
      </c>
      <c r="AJ48" s="73" t="e">
        <f>AJ49+AJ60+AJ69+AJ74+AJ81+AJ100+AJ117+AJ120+AJ124+AJ128+AJ130+AJ133+AJ136+AJ146+AJ148+AJ138</f>
        <v>#REF!</v>
      </c>
      <c r="AK48" s="64"/>
      <c r="AL48" s="73" t="e">
        <f>AL49+AL60+AL69+AL74+AL81+AL100+AL117+AL120+AL124+AL128+AL130+AL133+AL136+AL146+AL148+AL138</f>
        <v>#REF!</v>
      </c>
      <c r="AM48" s="73" t="e">
        <f>AM49+AM60+AM69+AM74+AM81+AM100+AM117+AM120+AM124+AM128+AM130+AM133+AM136+AM146+AM148+AM138</f>
        <v>#REF!</v>
      </c>
      <c r="AN48" s="73">
        <f>AN49+AN60+AN69+AN74+AN81+AN100+AN117+AN120+AN124+AN128+AN130+AN133+AN136+AN146+AN148</f>
        <v>0</v>
      </c>
      <c r="AO48" s="64"/>
      <c r="AP48" s="64"/>
      <c r="AQ48" s="64"/>
      <c r="AR48" s="64"/>
      <c r="AS48" s="64"/>
      <c r="AT48" s="73" t="e">
        <f>AU48+AV48</f>
        <v>#REF!</v>
      </c>
      <c r="AU48" s="73" t="e">
        <f t="shared" ref="AU48:BC48" si="13">AU49+AU60+AU69+AU74+AU81+AU100+AU117+AU120+AU124+AU128+AU130+AU133+AU136+AU146+AU148+AU138</f>
        <v>#REF!</v>
      </c>
      <c r="AV48" s="73" t="e">
        <f t="shared" si="13"/>
        <v>#REF!</v>
      </c>
      <c r="AW48" s="73">
        <f t="shared" si="13"/>
        <v>0</v>
      </c>
      <c r="AX48" s="73">
        <f t="shared" si="13"/>
        <v>14248144.76</v>
      </c>
      <c r="AY48" s="73">
        <f t="shared" si="13"/>
        <v>14248144.76</v>
      </c>
      <c r="AZ48" s="73">
        <f t="shared" si="13"/>
        <v>0</v>
      </c>
      <c r="BA48" s="73">
        <f t="shared" si="13"/>
        <v>4481952.45</v>
      </c>
      <c r="BB48" s="73">
        <f t="shared" si="13"/>
        <v>2377342</v>
      </c>
      <c r="BC48" s="73">
        <f t="shared" si="13"/>
        <v>0</v>
      </c>
    </row>
    <row r="49" spans="1:55" ht="16.899999999999999" hidden="1" customHeight="1" x14ac:dyDescent="0.2">
      <c r="A49" s="138" t="s">
        <v>181</v>
      </c>
      <c r="B49" s="55"/>
      <c r="C49" s="116"/>
      <c r="D49" s="116"/>
      <c r="E49" s="142"/>
      <c r="F49" s="117" t="s">
        <v>86</v>
      </c>
      <c r="G49" s="117">
        <v>12</v>
      </c>
      <c r="H49" s="117" t="s">
        <v>86</v>
      </c>
      <c r="I49" s="117"/>
      <c r="J49" s="117" t="s">
        <v>86</v>
      </c>
      <c r="K49" s="117"/>
      <c r="L49" s="58" t="s">
        <v>87</v>
      </c>
      <c r="M49" s="117"/>
      <c r="N49" s="57"/>
      <c r="O49" s="57"/>
      <c r="P49" s="140"/>
      <c r="X49" s="35">
        <v>27</v>
      </c>
      <c r="Y49" s="61" t="s">
        <v>98</v>
      </c>
      <c r="Z49" s="143"/>
      <c r="AA49" s="144"/>
      <c r="AB49" s="144"/>
      <c r="AC49" s="122" t="s">
        <v>90</v>
      </c>
      <c r="AD49" s="122" t="s">
        <v>90</v>
      </c>
      <c r="AE49" s="122" t="s">
        <v>90</v>
      </c>
      <c r="AF49" s="122" t="s">
        <v>90</v>
      </c>
      <c r="AG49" s="122" t="s">
        <v>90</v>
      </c>
      <c r="AH49" s="122" t="s">
        <v>90</v>
      </c>
      <c r="AI49" s="122">
        <f>AI50+AI56</f>
        <v>12275347.300000001</v>
      </c>
      <c r="AJ49" s="122">
        <f>AJ50+AJ56</f>
        <v>12275347.300000001</v>
      </c>
      <c r="AK49" s="145"/>
      <c r="AL49" s="122">
        <f>AL50+AL56</f>
        <v>12275347.300000001</v>
      </c>
      <c r="AM49" s="122"/>
      <c r="AN49" s="122"/>
      <c r="AO49" s="64"/>
      <c r="AP49" s="145"/>
      <c r="AQ49" s="145"/>
      <c r="AR49" s="145"/>
      <c r="AS49" s="145"/>
      <c r="AT49" s="122">
        <f t="shared" ref="AT49:BA49" si="14">AT50+AT56</f>
        <v>0</v>
      </c>
      <c r="AU49" s="122">
        <f t="shared" si="14"/>
        <v>0</v>
      </c>
      <c r="AV49" s="122"/>
      <c r="AW49" s="122">
        <f t="shared" si="14"/>
        <v>0</v>
      </c>
      <c r="AX49" s="122">
        <f t="shared" si="14"/>
        <v>7793394.8499999996</v>
      </c>
      <c r="AY49" s="122">
        <f t="shared" si="14"/>
        <v>7793394.8499999996</v>
      </c>
      <c r="AZ49" s="122">
        <f t="shared" si="14"/>
        <v>0</v>
      </c>
      <c r="BA49" s="122">
        <f t="shared" si="14"/>
        <v>4481952.45</v>
      </c>
      <c r="BB49" s="80"/>
      <c r="BC49" s="122"/>
    </row>
    <row r="50" spans="1:55" ht="29.45" hidden="1" customHeight="1" x14ac:dyDescent="0.2">
      <c r="A50" s="138" t="s">
        <v>182</v>
      </c>
      <c r="B50" s="55"/>
      <c r="C50" s="116"/>
      <c r="D50" s="116"/>
      <c r="E50" s="139"/>
      <c r="F50" s="117" t="s">
        <v>86</v>
      </c>
      <c r="G50" s="117">
        <v>12</v>
      </c>
      <c r="H50" s="117" t="s">
        <v>87</v>
      </c>
      <c r="I50" s="117"/>
      <c r="J50" s="117"/>
      <c r="K50" s="117"/>
      <c r="L50" s="117"/>
      <c r="M50" s="117"/>
      <c r="N50" s="57"/>
      <c r="O50" s="57"/>
      <c r="P50" s="140"/>
      <c r="X50" s="76">
        <v>28</v>
      </c>
      <c r="Y50" s="77" t="s">
        <v>106</v>
      </c>
      <c r="Z50" s="91"/>
      <c r="AA50" s="146"/>
      <c r="AB50" s="146"/>
      <c r="AC50" s="147" t="s">
        <v>90</v>
      </c>
      <c r="AD50" s="147" t="s">
        <v>90</v>
      </c>
      <c r="AE50" s="147" t="s">
        <v>90</v>
      </c>
      <c r="AF50" s="147" t="s">
        <v>90</v>
      </c>
      <c r="AG50" s="147" t="s">
        <v>90</v>
      </c>
      <c r="AH50" s="147" t="s">
        <v>90</v>
      </c>
      <c r="AI50" s="147">
        <f>AI51+AI52+AI53</f>
        <v>9428070.120000001</v>
      </c>
      <c r="AJ50" s="147">
        <f>AJ51+AJ52+AJ53</f>
        <v>9428070.120000001</v>
      </c>
      <c r="AK50" s="80"/>
      <c r="AL50" s="79">
        <f t="shared" ref="AL50:BC50" si="15">AL51+AL52+AL53</f>
        <v>9428070.120000001</v>
      </c>
      <c r="AM50" s="79"/>
      <c r="AN50" s="79">
        <f t="shared" si="15"/>
        <v>0</v>
      </c>
      <c r="AO50" s="64"/>
      <c r="AP50" s="80"/>
      <c r="AQ50" s="80"/>
      <c r="AR50" s="80"/>
      <c r="AS50" s="80"/>
      <c r="AT50" s="79">
        <f t="shared" si="15"/>
        <v>0</v>
      </c>
      <c r="AU50" s="79">
        <f t="shared" si="15"/>
        <v>0</v>
      </c>
      <c r="AV50" s="79"/>
      <c r="AW50" s="79">
        <f t="shared" si="15"/>
        <v>0</v>
      </c>
      <c r="AX50" s="79">
        <f t="shared" si="15"/>
        <v>5985710.3300000001</v>
      </c>
      <c r="AY50" s="79">
        <f t="shared" si="15"/>
        <v>5985710.3300000001</v>
      </c>
      <c r="AZ50" s="79">
        <f t="shared" si="15"/>
        <v>0</v>
      </c>
      <c r="BA50" s="79">
        <f t="shared" si="15"/>
        <v>3442359.79</v>
      </c>
      <c r="BB50" s="80"/>
      <c r="BC50" s="79">
        <f t="shared" si="15"/>
        <v>0</v>
      </c>
    </row>
    <row r="51" spans="1:55" ht="31.15" hidden="1" customHeight="1" x14ac:dyDescent="0.2">
      <c r="A51" s="148" t="s">
        <v>183</v>
      </c>
      <c r="B51" s="55"/>
      <c r="C51" s="116"/>
      <c r="D51" s="116"/>
      <c r="E51" s="149"/>
      <c r="F51" s="58" t="s">
        <v>86</v>
      </c>
      <c r="G51" s="58">
        <v>12</v>
      </c>
      <c r="H51" s="58" t="s">
        <v>86</v>
      </c>
      <c r="I51" s="58"/>
      <c r="J51" s="58" t="s">
        <v>87</v>
      </c>
      <c r="K51" s="58"/>
      <c r="L51" s="57"/>
      <c r="M51" s="57"/>
      <c r="N51" s="57"/>
      <c r="O51" s="57"/>
      <c r="P51" s="140"/>
      <c r="X51" s="35">
        <v>29</v>
      </c>
      <c r="Y51" s="61" t="s">
        <v>84</v>
      </c>
      <c r="Z51" s="84" t="s">
        <v>85</v>
      </c>
      <c r="AA51" s="85"/>
      <c r="AB51" s="85" t="s">
        <v>108</v>
      </c>
      <c r="AC51" s="63" t="s">
        <v>90</v>
      </c>
      <c r="AD51" s="122" t="s">
        <v>90</v>
      </c>
      <c r="AE51" s="53" t="s">
        <v>89</v>
      </c>
      <c r="AF51" s="53" t="s">
        <v>89</v>
      </c>
      <c r="AG51" s="122" t="s">
        <v>90</v>
      </c>
      <c r="AH51" s="122" t="s">
        <v>90</v>
      </c>
      <c r="AI51" s="150"/>
      <c r="AJ51" s="63">
        <f>AK51+AL51+AN51</f>
        <v>0</v>
      </c>
      <c r="AK51" s="80"/>
      <c r="AL51" s="122">
        <f>AS51+AU51+AX51+BA51+BB51</f>
        <v>0</v>
      </c>
      <c r="AM51" s="122"/>
      <c r="AN51" s="122">
        <f>AW51</f>
        <v>0</v>
      </c>
      <c r="AO51" s="64"/>
      <c r="AP51" s="80"/>
      <c r="AQ51" s="80"/>
      <c r="AR51" s="80"/>
      <c r="AS51" s="80"/>
      <c r="AT51" s="53"/>
      <c r="AU51" s="53"/>
      <c r="AV51" s="53"/>
      <c r="AW51" s="53"/>
      <c r="AX51" s="53">
        <f>AY51+AZ51</f>
        <v>0</v>
      </c>
      <c r="AY51" s="53">
        <f>AI51</f>
        <v>0</v>
      </c>
      <c r="AZ51" s="122"/>
      <c r="BA51" s="122">
        <f>AI51-AX51</f>
        <v>0</v>
      </c>
      <c r="BB51" s="80"/>
      <c r="BC51" s="122"/>
    </row>
    <row r="52" spans="1:55" ht="71.45" customHeight="1" x14ac:dyDescent="0.2">
      <c r="A52" s="151" t="s">
        <v>184</v>
      </c>
      <c r="B52" s="133"/>
      <c r="C52" s="134" t="s">
        <v>185</v>
      </c>
      <c r="D52" s="134"/>
      <c r="E52" s="135"/>
      <c r="F52" s="135"/>
      <c r="G52" s="135"/>
      <c r="H52" s="135"/>
      <c r="I52" s="135"/>
      <c r="J52" s="135"/>
      <c r="K52" s="135"/>
      <c r="L52" s="135"/>
      <c r="M52" s="135"/>
      <c r="N52" s="135"/>
      <c r="O52" s="135"/>
      <c r="P52" s="152">
        <f>P54+P60+P61+P64</f>
        <v>108667.5</v>
      </c>
      <c r="Q52" s="153"/>
      <c r="X52" s="35">
        <v>30</v>
      </c>
      <c r="Y52" s="61" t="s">
        <v>91</v>
      </c>
      <c r="Z52" s="84" t="s">
        <v>92</v>
      </c>
      <c r="AA52" s="85"/>
      <c r="AB52" s="85" t="s">
        <v>108</v>
      </c>
      <c r="AC52" s="63" t="s">
        <v>90</v>
      </c>
      <c r="AD52" s="122" t="s">
        <v>90</v>
      </c>
      <c r="AE52" s="53" t="s">
        <v>89</v>
      </c>
      <c r="AF52" s="53" t="s">
        <v>89</v>
      </c>
      <c r="AG52" s="122" t="s">
        <v>90</v>
      </c>
      <c r="AH52" s="122" t="s">
        <v>90</v>
      </c>
      <c r="AI52" s="150">
        <v>6994678.0800000001</v>
      </c>
      <c r="AJ52" s="63">
        <f>AK52+AL52+AN52</f>
        <v>6994678.0800000001</v>
      </c>
      <c r="AK52" s="145"/>
      <c r="AL52" s="122">
        <f>AS52+AU52+AX52+BA52+BB52</f>
        <v>6994678.0800000001</v>
      </c>
      <c r="AM52" s="122"/>
      <c r="AN52" s="122">
        <f>AW52</f>
        <v>0</v>
      </c>
      <c r="AO52" s="64"/>
      <c r="AP52" s="80"/>
      <c r="AQ52" s="80"/>
      <c r="AR52" s="80"/>
      <c r="AS52" s="80"/>
      <c r="AT52" s="53"/>
      <c r="AU52" s="53"/>
      <c r="AV52" s="53"/>
      <c r="AW52" s="53"/>
      <c r="AX52" s="53">
        <f>AY52</f>
        <v>3552318.29</v>
      </c>
      <c r="AY52" s="53">
        <f>AI52-BA52</f>
        <v>3552318.29</v>
      </c>
      <c r="AZ52" s="53"/>
      <c r="BA52" s="122">
        <v>3442359.79</v>
      </c>
      <c r="BB52" s="80"/>
      <c r="BC52" s="122"/>
    </row>
    <row r="53" spans="1:55" ht="33.6" customHeight="1" x14ac:dyDescent="0.2">
      <c r="A53" s="154" t="s">
        <v>186</v>
      </c>
      <c r="B53" s="155"/>
      <c r="C53" s="156"/>
      <c r="D53" s="156"/>
      <c r="E53" s="157" t="s">
        <v>187</v>
      </c>
      <c r="F53" s="157"/>
      <c r="G53" s="157" t="s">
        <v>188</v>
      </c>
      <c r="H53" s="157"/>
      <c r="I53" s="157" t="s">
        <v>189</v>
      </c>
      <c r="J53" s="157"/>
      <c r="K53" s="157" t="s">
        <v>190</v>
      </c>
      <c r="L53" s="157"/>
      <c r="M53" s="157"/>
      <c r="N53" s="157"/>
      <c r="O53" s="158"/>
      <c r="P53" s="159">
        <f>P56</f>
        <v>0</v>
      </c>
      <c r="Q53" s="153"/>
      <c r="X53" s="35">
        <v>31</v>
      </c>
      <c r="Y53" s="61" t="s">
        <v>191</v>
      </c>
      <c r="Z53" s="84" t="s">
        <v>192</v>
      </c>
      <c r="AA53" s="85"/>
      <c r="AB53" s="85" t="s">
        <v>108</v>
      </c>
      <c r="AC53" s="63" t="s">
        <v>90</v>
      </c>
      <c r="AD53" s="122" t="s">
        <v>90</v>
      </c>
      <c r="AE53" s="53" t="s">
        <v>89</v>
      </c>
      <c r="AF53" s="53" t="s">
        <v>89</v>
      </c>
      <c r="AG53" s="122" t="s">
        <v>90</v>
      </c>
      <c r="AH53" s="122" t="s">
        <v>90</v>
      </c>
      <c r="AI53" s="150">
        <v>2433392.04</v>
      </c>
      <c r="AJ53" s="63">
        <f>AK53+AL53+AN53</f>
        <v>2433392.04</v>
      </c>
      <c r="AK53" s="145"/>
      <c r="AL53" s="122">
        <f>AS53+AU53+AX53+BA53+BB53</f>
        <v>2433392.04</v>
      </c>
      <c r="AM53" s="122"/>
      <c r="AN53" s="122">
        <f>AW53</f>
        <v>0</v>
      </c>
      <c r="AO53" s="64"/>
      <c r="AP53" s="80"/>
      <c r="AQ53" s="80"/>
      <c r="AR53" s="80"/>
      <c r="AS53" s="80"/>
      <c r="AT53" s="53"/>
      <c r="AU53" s="122"/>
      <c r="AV53" s="122"/>
      <c r="AW53" s="53"/>
      <c r="AX53" s="53">
        <f>AY53</f>
        <v>2433392.04</v>
      </c>
      <c r="AY53" s="53">
        <f>AI53-BA53</f>
        <v>2433392.04</v>
      </c>
      <c r="AZ53" s="122"/>
      <c r="BA53" s="122"/>
      <c r="BB53" s="80"/>
      <c r="BC53" s="122"/>
    </row>
    <row r="54" spans="1:55" ht="25.5" hidden="1" x14ac:dyDescent="0.2">
      <c r="A54" s="128" t="s">
        <v>193</v>
      </c>
      <c r="B54" s="55"/>
      <c r="C54" s="116"/>
      <c r="D54" s="160">
        <v>20.04</v>
      </c>
      <c r="E54" s="161">
        <f>3*1.1*4*1.5+4*1.1*4</f>
        <v>37.400000000000006</v>
      </c>
      <c r="F54" s="123" t="s">
        <v>86</v>
      </c>
      <c r="G54" s="162">
        <v>12</v>
      </c>
      <c r="H54" s="123" t="s">
        <v>86</v>
      </c>
      <c r="I54" s="123">
        <v>1</v>
      </c>
      <c r="J54" s="123" t="s">
        <v>113</v>
      </c>
      <c r="K54" s="123">
        <v>260.27</v>
      </c>
      <c r="L54" s="123" t="s">
        <v>87</v>
      </c>
      <c r="M54" s="123">
        <f>ROUND(E54*G54*I54*K54,2)</f>
        <v>116809.18</v>
      </c>
      <c r="N54" s="58"/>
      <c r="O54" s="130"/>
      <c r="P54" s="140"/>
      <c r="Q54" s="153"/>
      <c r="X54" s="35">
        <v>32</v>
      </c>
      <c r="Y54" s="103" t="s">
        <v>194</v>
      </c>
      <c r="Z54" s="143"/>
      <c r="AA54" s="144"/>
      <c r="AB54" s="144"/>
      <c r="AC54" s="122" t="s">
        <v>90</v>
      </c>
      <c r="AD54" s="122" t="s">
        <v>90</v>
      </c>
      <c r="AE54" s="122" t="s">
        <v>90</v>
      </c>
      <c r="AF54" s="122" t="s">
        <v>90</v>
      </c>
      <c r="AG54" s="122" t="s">
        <v>90</v>
      </c>
      <c r="AH54" s="122" t="s">
        <v>90</v>
      </c>
      <c r="AI54" s="122"/>
      <c r="AJ54" s="63">
        <f>AK54+AL54+AN54</f>
        <v>0</v>
      </c>
      <c r="AK54" s="80"/>
      <c r="AL54" s="122">
        <f>AS54+AU54+AX54+BA54+BB54</f>
        <v>0</v>
      </c>
      <c r="AM54" s="122"/>
      <c r="AN54" s="122">
        <f>AW54</f>
        <v>0</v>
      </c>
      <c r="AO54" s="64"/>
      <c r="AP54" s="80"/>
      <c r="AQ54" s="80"/>
      <c r="AR54" s="80"/>
      <c r="AS54" s="80"/>
      <c r="AT54" s="122"/>
      <c r="AU54" s="122"/>
      <c r="AV54" s="122"/>
      <c r="AW54" s="122"/>
      <c r="AX54" s="53">
        <f>AY54</f>
        <v>0</v>
      </c>
      <c r="AY54" s="53">
        <f>AI54</f>
        <v>0</v>
      </c>
      <c r="AZ54" s="145"/>
      <c r="BA54" s="145"/>
      <c r="BB54" s="122">
        <f>AI54-AX54</f>
        <v>0</v>
      </c>
      <c r="BC54" s="122"/>
    </row>
    <row r="55" spans="1:55" ht="15.75" hidden="1" customHeight="1" x14ac:dyDescent="0.2">
      <c r="A55" s="128" t="s">
        <v>195</v>
      </c>
      <c r="B55" s="55"/>
      <c r="C55" s="116">
        <v>223098</v>
      </c>
      <c r="D55" s="116"/>
      <c r="E55" s="123">
        <v>200</v>
      </c>
      <c r="F55" s="123" t="s">
        <v>86</v>
      </c>
      <c r="G55" s="162">
        <v>0.01</v>
      </c>
      <c r="H55" s="123" t="s">
        <v>86</v>
      </c>
      <c r="I55" s="123">
        <v>12</v>
      </c>
      <c r="J55" s="123" t="s">
        <v>113</v>
      </c>
      <c r="K55" s="123">
        <v>220.56779</v>
      </c>
      <c r="L55" s="123" t="s">
        <v>113</v>
      </c>
      <c r="M55" s="123">
        <v>1.18</v>
      </c>
      <c r="N55" s="123" t="s">
        <v>87</v>
      </c>
      <c r="O55" s="163">
        <f>ROUND(E55*G55*I55*K55*M55,2)</f>
        <v>6246.48</v>
      </c>
      <c r="P55" s="164"/>
      <c r="Q55" s="153"/>
      <c r="X55" s="35">
        <v>35</v>
      </c>
      <c r="Y55" s="103" t="s">
        <v>196</v>
      </c>
      <c r="Z55" s="36" t="s">
        <v>197</v>
      </c>
      <c r="AA55" s="121"/>
      <c r="AB55" s="121" t="s">
        <v>198</v>
      </c>
      <c r="AC55" s="63" t="s">
        <v>90</v>
      </c>
      <c r="AD55" s="122" t="s">
        <v>90</v>
      </c>
      <c r="AE55" s="53" t="s">
        <v>89</v>
      </c>
      <c r="AF55" s="53" t="s">
        <v>89</v>
      </c>
      <c r="AG55" s="122" t="s">
        <v>90</v>
      </c>
      <c r="AH55" s="122" t="s">
        <v>90</v>
      </c>
      <c r="AI55" s="150"/>
      <c r="AJ55" s="63">
        <f>AK55+AL55+AN55</f>
        <v>0</v>
      </c>
      <c r="AK55" s="80"/>
      <c r="AL55" s="122">
        <f>AS55+AU55+AX55+BA55+BB55</f>
        <v>0</v>
      </c>
      <c r="AM55" s="122"/>
      <c r="AN55" s="122">
        <f>AW55</f>
        <v>0</v>
      </c>
      <c r="AO55" s="64"/>
      <c r="AP55" s="80"/>
      <c r="AQ55" s="80"/>
      <c r="AR55" s="80"/>
      <c r="AS55" s="80"/>
      <c r="AT55" s="122"/>
      <c r="AU55" s="122"/>
      <c r="AV55" s="122"/>
      <c r="AW55" s="122"/>
      <c r="AX55" s="53">
        <f>AY55</f>
        <v>0</v>
      </c>
      <c r="AY55" s="53">
        <f>AI55</f>
        <v>0</v>
      </c>
      <c r="AZ55" s="145"/>
      <c r="BA55" s="145"/>
      <c r="BB55" s="122">
        <f>AI55-AX55</f>
        <v>0</v>
      </c>
      <c r="BC55" s="122"/>
    </row>
    <row r="56" spans="1:55" ht="15" hidden="1" x14ac:dyDescent="0.2">
      <c r="A56" s="128" t="s">
        <v>171</v>
      </c>
      <c r="B56" s="55"/>
      <c r="C56" s="116">
        <v>223017</v>
      </c>
      <c r="D56" s="116"/>
      <c r="E56" s="165">
        <f>C5</f>
        <v>1801</v>
      </c>
      <c r="F56" s="165" t="s">
        <v>86</v>
      </c>
      <c r="G56" s="166">
        <v>0.53</v>
      </c>
      <c r="H56" s="165" t="s">
        <v>86</v>
      </c>
      <c r="I56" s="165">
        <v>0.86911459499999999</v>
      </c>
      <c r="J56" s="165" t="s">
        <v>113</v>
      </c>
      <c r="K56" s="165">
        <v>488.57</v>
      </c>
      <c r="L56" s="165" t="s">
        <v>87</v>
      </c>
      <c r="M56" s="167">
        <f>ROUND(E56*G56*I56*K56,2)</f>
        <v>405315.7</v>
      </c>
      <c r="N56" s="58"/>
      <c r="O56" s="130"/>
      <c r="P56" s="168"/>
      <c r="Q56" s="153"/>
      <c r="X56" s="76">
        <v>36</v>
      </c>
      <c r="Y56" s="77" t="s">
        <v>114</v>
      </c>
      <c r="Z56" s="91"/>
      <c r="AA56" s="92"/>
      <c r="AB56" s="92"/>
      <c r="AC56" s="147" t="s">
        <v>90</v>
      </c>
      <c r="AD56" s="147" t="s">
        <v>90</v>
      </c>
      <c r="AE56" s="147" t="s">
        <v>90</v>
      </c>
      <c r="AF56" s="147" t="s">
        <v>90</v>
      </c>
      <c r="AG56" s="147" t="s">
        <v>90</v>
      </c>
      <c r="AH56" s="147" t="s">
        <v>90</v>
      </c>
      <c r="AI56" s="147">
        <f>SUM(AI57:AI59)</f>
        <v>2847277.1799999997</v>
      </c>
      <c r="AJ56" s="147">
        <f>SUM(AJ57:AJ59)</f>
        <v>2847277.18</v>
      </c>
      <c r="AK56" s="80"/>
      <c r="AL56" s="147">
        <f>SUM(AL57:AL59)</f>
        <v>2847277.18</v>
      </c>
      <c r="AM56" s="147"/>
      <c r="AN56" s="147">
        <f>SUM(AN57:AN59)</f>
        <v>0</v>
      </c>
      <c r="AO56" s="64"/>
      <c r="AP56" s="80"/>
      <c r="AQ56" s="80"/>
      <c r="AR56" s="80"/>
      <c r="AS56" s="80"/>
      <c r="AT56" s="147">
        <f t="shared" ref="AT56:BA56" si="16">SUM(AT57:AT59)</f>
        <v>0</v>
      </c>
      <c r="AU56" s="147">
        <f t="shared" si="16"/>
        <v>0</v>
      </c>
      <c r="AV56" s="147"/>
      <c r="AW56" s="147">
        <f t="shared" si="16"/>
        <v>0</v>
      </c>
      <c r="AX56" s="147">
        <f t="shared" si="16"/>
        <v>1807684.52</v>
      </c>
      <c r="AY56" s="147">
        <f t="shared" si="16"/>
        <v>1807684.52</v>
      </c>
      <c r="AZ56" s="147">
        <f t="shared" si="16"/>
        <v>0</v>
      </c>
      <c r="BA56" s="147">
        <f t="shared" si="16"/>
        <v>1039592.66</v>
      </c>
      <c r="BB56" s="80"/>
      <c r="BC56" s="147">
        <f>SUM(BC57:BC59)</f>
        <v>0</v>
      </c>
    </row>
    <row r="57" spans="1:55" ht="25.5" hidden="1" x14ac:dyDescent="0.2">
      <c r="A57" s="128" t="s">
        <v>199</v>
      </c>
      <c r="B57" s="55"/>
      <c r="C57" s="116"/>
      <c r="D57" s="116"/>
      <c r="E57" s="123">
        <v>95</v>
      </c>
      <c r="F57" s="123" t="s">
        <v>86</v>
      </c>
      <c r="G57" s="162">
        <v>0.1</v>
      </c>
      <c r="H57" s="123" t="s">
        <v>86</v>
      </c>
      <c r="I57" s="123">
        <v>12</v>
      </c>
      <c r="J57" s="123" t="s">
        <v>113</v>
      </c>
      <c r="K57" s="123">
        <v>220.56779</v>
      </c>
      <c r="L57" s="123" t="s">
        <v>113</v>
      </c>
      <c r="M57" s="123">
        <v>1.18</v>
      </c>
      <c r="N57" s="123" t="s">
        <v>87</v>
      </c>
      <c r="O57" s="163">
        <f>ROUND(E57*G57*I57*K57*M57,2)</f>
        <v>29670.78</v>
      </c>
      <c r="P57" s="164"/>
      <c r="Q57" s="153"/>
      <c r="X57" s="35">
        <v>37</v>
      </c>
      <c r="Y57" s="61" t="s">
        <v>99</v>
      </c>
      <c r="Z57" s="84" t="s">
        <v>100</v>
      </c>
      <c r="AA57" s="85"/>
      <c r="AB57" s="85" t="s">
        <v>116</v>
      </c>
      <c r="AC57" s="63" t="s">
        <v>90</v>
      </c>
      <c r="AD57" s="122" t="s">
        <v>90</v>
      </c>
      <c r="AE57" s="53" t="s">
        <v>89</v>
      </c>
      <c r="AF57" s="53" t="s">
        <v>89</v>
      </c>
      <c r="AG57" s="122" t="s">
        <v>90</v>
      </c>
      <c r="AH57" s="122" t="s">
        <v>90</v>
      </c>
      <c r="AI57" s="53">
        <f>ROUND(AI51*0.302,2)</f>
        <v>0</v>
      </c>
      <c r="AJ57" s="63">
        <f>AK57+AL57+AN57</f>
        <v>0</v>
      </c>
      <c r="AK57" s="80"/>
      <c r="AL57" s="122">
        <f>AS57+AU57+AX57+BA57+BB57</f>
        <v>0</v>
      </c>
      <c r="AM57" s="122"/>
      <c r="AN57" s="122"/>
      <c r="AO57" s="64"/>
      <c r="AP57" s="80"/>
      <c r="AQ57" s="80"/>
      <c r="AR57" s="80"/>
      <c r="AS57" s="80"/>
      <c r="AT57" s="150"/>
      <c r="AU57" s="150"/>
      <c r="AV57" s="150"/>
      <c r="AW57" s="150"/>
      <c r="AX57" s="53">
        <f>AY57+AZ57</f>
        <v>0</v>
      </c>
      <c r="AY57" s="53">
        <f t="shared" ref="AY57:BA59" si="17">ROUND(AY51*0.302,2)</f>
        <v>0</v>
      </c>
      <c r="AZ57" s="53">
        <f t="shared" si="17"/>
        <v>0</v>
      </c>
      <c r="BA57" s="122">
        <f>AI57-AX57</f>
        <v>0</v>
      </c>
      <c r="BB57" s="80"/>
      <c r="BC57" s="122"/>
    </row>
    <row r="58" spans="1:55" ht="25.5" hidden="1" x14ac:dyDescent="0.2">
      <c r="A58" s="128" t="s">
        <v>172</v>
      </c>
      <c r="B58" s="55"/>
      <c r="C58" s="116"/>
      <c r="D58" s="116"/>
      <c r="E58" s="57"/>
      <c r="F58" s="57"/>
      <c r="G58" s="57"/>
      <c r="H58" s="57"/>
      <c r="I58" s="57"/>
      <c r="J58" s="57"/>
      <c r="K58" s="57"/>
      <c r="L58" s="57"/>
      <c r="M58" s="57"/>
      <c r="N58" s="57"/>
      <c r="O58" s="169"/>
      <c r="P58" s="140">
        <f>O58</f>
        <v>0</v>
      </c>
      <c r="Q58" s="153"/>
      <c r="X58" s="35">
        <v>38</v>
      </c>
      <c r="Y58" s="61" t="s">
        <v>102</v>
      </c>
      <c r="Z58" s="84" t="s">
        <v>103</v>
      </c>
      <c r="AA58" s="85"/>
      <c r="AB58" s="85" t="s">
        <v>116</v>
      </c>
      <c r="AC58" s="63" t="s">
        <v>90</v>
      </c>
      <c r="AD58" s="122" t="s">
        <v>90</v>
      </c>
      <c r="AE58" s="53" t="s">
        <v>89</v>
      </c>
      <c r="AF58" s="53" t="s">
        <v>89</v>
      </c>
      <c r="AG58" s="122" t="s">
        <v>90</v>
      </c>
      <c r="AH58" s="122" t="s">
        <v>90</v>
      </c>
      <c r="AI58" s="53">
        <f>ROUND(AI52*0.302,2)</f>
        <v>2112392.7799999998</v>
      </c>
      <c r="AJ58" s="63">
        <f>AK58+AL58+AN58</f>
        <v>2112392.7800000003</v>
      </c>
      <c r="AK58" s="80"/>
      <c r="AL58" s="122">
        <f>AS58+AU58+AX58+BA58+BB58</f>
        <v>2112392.7800000003</v>
      </c>
      <c r="AM58" s="122"/>
      <c r="AN58" s="122"/>
      <c r="AO58" s="64"/>
      <c r="AP58" s="80"/>
      <c r="AQ58" s="80"/>
      <c r="AR58" s="80"/>
      <c r="AS58" s="80"/>
      <c r="AT58" s="150"/>
      <c r="AU58" s="150"/>
      <c r="AV58" s="150"/>
      <c r="AW58" s="150"/>
      <c r="AX58" s="170">
        <f>AY58+AZ58</f>
        <v>1072800.1200000001</v>
      </c>
      <c r="AY58" s="170">
        <f t="shared" si="17"/>
        <v>1072800.1200000001</v>
      </c>
      <c r="AZ58" s="170">
        <f t="shared" si="17"/>
        <v>0</v>
      </c>
      <c r="BA58" s="170">
        <f t="shared" si="17"/>
        <v>1039592.66</v>
      </c>
      <c r="BB58" s="80"/>
      <c r="BC58" s="122"/>
    </row>
    <row r="59" spans="1:55" ht="15" hidden="1" x14ac:dyDescent="0.2">
      <c r="A59" s="128" t="s">
        <v>200</v>
      </c>
      <c r="B59" s="55"/>
      <c r="C59" s="116"/>
      <c r="D59" s="116"/>
      <c r="E59" s="171"/>
      <c r="F59" s="117" t="s">
        <v>86</v>
      </c>
      <c r="G59" s="117">
        <v>12</v>
      </c>
      <c r="H59" s="117" t="s">
        <v>86</v>
      </c>
      <c r="I59" s="117">
        <v>1</v>
      </c>
      <c r="J59" s="117" t="s">
        <v>87</v>
      </c>
      <c r="K59" s="117">
        <f>ROUND(E59*G59*I59,1)</f>
        <v>0</v>
      </c>
      <c r="L59" s="57"/>
      <c r="M59" s="57"/>
      <c r="N59" s="57"/>
      <c r="O59" s="169"/>
      <c r="P59" s="140">
        <f>K59</f>
        <v>0</v>
      </c>
      <c r="Q59" s="153"/>
      <c r="X59" s="35">
        <v>39</v>
      </c>
      <c r="Y59" s="61" t="s">
        <v>191</v>
      </c>
      <c r="Z59" s="84" t="s">
        <v>192</v>
      </c>
      <c r="AA59" s="85"/>
      <c r="AB59" s="85" t="s">
        <v>116</v>
      </c>
      <c r="AC59" s="63" t="s">
        <v>90</v>
      </c>
      <c r="AD59" s="122" t="s">
        <v>90</v>
      </c>
      <c r="AE59" s="53" t="s">
        <v>89</v>
      </c>
      <c r="AF59" s="53" t="s">
        <v>89</v>
      </c>
      <c r="AG59" s="122" t="s">
        <v>90</v>
      </c>
      <c r="AH59" s="122" t="s">
        <v>90</v>
      </c>
      <c r="AI59" s="53">
        <f>ROUND(AI53*0.302,2)</f>
        <v>734884.4</v>
      </c>
      <c r="AJ59" s="63">
        <f>AK59+AL59+AN59</f>
        <v>734884.4</v>
      </c>
      <c r="AK59" s="80"/>
      <c r="AL59" s="122">
        <f>AS59+AU59+AX59+BA59+BB59</f>
        <v>734884.4</v>
      </c>
      <c r="AM59" s="122"/>
      <c r="AN59" s="122"/>
      <c r="AO59" s="64"/>
      <c r="AP59" s="80"/>
      <c r="AQ59" s="80"/>
      <c r="AR59" s="80"/>
      <c r="AS59" s="80"/>
      <c r="AT59" s="150"/>
      <c r="AU59" s="150"/>
      <c r="AV59" s="150"/>
      <c r="AW59" s="150"/>
      <c r="AX59" s="170">
        <f>AY59+AZ59</f>
        <v>734884.4</v>
      </c>
      <c r="AY59" s="170">
        <f t="shared" si="17"/>
        <v>734884.4</v>
      </c>
      <c r="AZ59" s="170">
        <f t="shared" si="17"/>
        <v>0</v>
      </c>
      <c r="BA59" s="170">
        <f t="shared" si="17"/>
        <v>0</v>
      </c>
      <c r="BB59" s="80"/>
      <c r="BC59" s="122"/>
    </row>
    <row r="60" spans="1:55" ht="23.45" customHeight="1" x14ac:dyDescent="0.2">
      <c r="A60" s="172" t="s">
        <v>201</v>
      </c>
      <c r="B60" s="155"/>
      <c r="C60" s="156"/>
      <c r="D60" s="156"/>
      <c r="E60" s="157"/>
      <c r="F60" s="157"/>
      <c r="G60" s="157"/>
      <c r="H60" s="157"/>
      <c r="I60" s="157"/>
      <c r="J60" s="157"/>
      <c r="K60" s="157"/>
      <c r="L60" s="157"/>
      <c r="M60" s="157"/>
      <c r="N60" s="157"/>
      <c r="O60" s="157"/>
      <c r="P60" s="173">
        <v>69562.5</v>
      </c>
      <c r="Q60" s="153"/>
      <c r="X60" s="174">
        <v>40</v>
      </c>
      <c r="Y60" s="175" t="s">
        <v>202</v>
      </c>
      <c r="Z60" s="176"/>
      <c r="AA60" s="177"/>
      <c r="AB60" s="177"/>
      <c r="AC60" s="178" t="s">
        <v>90</v>
      </c>
      <c r="AD60" s="178" t="s">
        <v>90</v>
      </c>
      <c r="AE60" s="178" t="s">
        <v>90</v>
      </c>
      <c r="AF60" s="178" t="s">
        <v>90</v>
      </c>
      <c r="AG60" s="178" t="s">
        <v>90</v>
      </c>
      <c r="AH60" s="178" t="s">
        <v>90</v>
      </c>
      <c r="AI60" s="178">
        <f t="shared" ref="AI60:AY60" si="18">SUM(AI61:AI67)</f>
        <v>5211156</v>
      </c>
      <c r="AJ60" s="178">
        <f t="shared" si="18"/>
        <v>5211156</v>
      </c>
      <c r="AK60" s="178">
        <f t="shared" si="18"/>
        <v>0</v>
      </c>
      <c r="AL60" s="178">
        <f t="shared" si="18"/>
        <v>5211156</v>
      </c>
      <c r="AM60" s="178"/>
      <c r="AN60" s="178">
        <f t="shared" si="18"/>
        <v>0</v>
      </c>
      <c r="AO60" s="178">
        <f t="shared" si="18"/>
        <v>0</v>
      </c>
      <c r="AP60" s="178">
        <f t="shared" si="18"/>
        <v>0</v>
      </c>
      <c r="AQ60" s="178"/>
      <c r="AR60" s="178"/>
      <c r="AS60" s="178">
        <f t="shared" si="18"/>
        <v>0</v>
      </c>
      <c r="AT60" s="178">
        <f t="shared" si="18"/>
        <v>0</v>
      </c>
      <c r="AU60" s="178">
        <f t="shared" si="18"/>
        <v>0</v>
      </c>
      <c r="AV60" s="178"/>
      <c r="AW60" s="178">
        <f t="shared" si="18"/>
        <v>0</v>
      </c>
      <c r="AX60" s="178">
        <f t="shared" si="18"/>
        <v>5211156</v>
      </c>
      <c r="AY60" s="178">
        <f t="shared" si="18"/>
        <v>5211156</v>
      </c>
      <c r="AZ60" s="80"/>
      <c r="BA60" s="80"/>
      <c r="BB60" s="178">
        <f>SUM(BB61:BB67)</f>
        <v>0</v>
      </c>
      <c r="BC60" s="178">
        <f>SUM(BC61:BC68)</f>
        <v>0</v>
      </c>
    </row>
    <row r="61" spans="1:55" ht="23.45" customHeight="1" x14ac:dyDescent="0.2">
      <c r="A61" s="179" t="s">
        <v>203</v>
      </c>
      <c r="B61" s="155"/>
      <c r="C61" s="156">
        <f>C62+C63</f>
        <v>0</v>
      </c>
      <c r="D61" s="156"/>
      <c r="E61" s="157"/>
      <c r="F61" s="157"/>
      <c r="G61" s="157"/>
      <c r="H61" s="157"/>
      <c r="I61" s="157"/>
      <c r="J61" s="157"/>
      <c r="K61" s="157"/>
      <c r="L61" s="157"/>
      <c r="M61" s="157"/>
      <c r="N61" s="157"/>
      <c r="O61" s="157"/>
      <c r="P61" s="159">
        <f>P62+P63</f>
        <v>39105</v>
      </c>
      <c r="Q61" s="153"/>
      <c r="X61" s="35">
        <v>41</v>
      </c>
      <c r="Y61" s="61" t="s">
        <v>155</v>
      </c>
      <c r="Z61" s="84" t="s">
        <v>156</v>
      </c>
      <c r="AA61" s="85"/>
      <c r="AB61" s="85" t="s">
        <v>204</v>
      </c>
      <c r="AC61" s="63" t="s">
        <v>90</v>
      </c>
      <c r="AD61" s="122" t="s">
        <v>90</v>
      </c>
      <c r="AE61" s="53" t="s">
        <v>89</v>
      </c>
      <c r="AF61" s="53" t="s">
        <v>89</v>
      </c>
      <c r="AG61" s="122" t="s">
        <v>90</v>
      </c>
      <c r="AH61" s="122" t="s">
        <v>90</v>
      </c>
      <c r="AI61" s="150">
        <f>P40</f>
        <v>2018986</v>
      </c>
      <c r="AJ61" s="63">
        <f t="shared" ref="AJ61:AJ67" si="19">AK61+AL61+AN61</f>
        <v>2018986</v>
      </c>
      <c r="AK61" s="80"/>
      <c r="AL61" s="122">
        <f t="shared" ref="AL61:AL67" si="20">AS61+AU61+AX61+BA61+BB61</f>
        <v>2018986</v>
      </c>
      <c r="AM61" s="122"/>
      <c r="AN61" s="80"/>
      <c r="AO61" s="64"/>
      <c r="AP61" s="80"/>
      <c r="AQ61" s="80"/>
      <c r="AR61" s="80"/>
      <c r="AS61" s="80"/>
      <c r="AT61" s="64"/>
      <c r="AU61" s="80"/>
      <c r="AV61" s="80"/>
      <c r="AW61" s="80"/>
      <c r="AX61" s="53">
        <f t="shared" ref="AX61:AX67" si="21">AY61</f>
        <v>2018986</v>
      </c>
      <c r="AY61" s="53">
        <f t="shared" ref="AY61:AY67" si="22">AI61</f>
        <v>2018986</v>
      </c>
      <c r="AZ61" s="80"/>
      <c r="BA61" s="80"/>
      <c r="BB61" s="122">
        <f t="shared" ref="BB61:BB67" si="23">AI61-AX61</f>
        <v>0</v>
      </c>
      <c r="BC61" s="122"/>
    </row>
    <row r="62" spans="1:55" ht="21" customHeight="1" x14ac:dyDescent="0.2">
      <c r="A62" s="148" t="s">
        <v>205</v>
      </c>
      <c r="B62" s="55"/>
      <c r="C62" s="116"/>
      <c r="D62" s="116"/>
      <c r="E62" s="180">
        <f>ROUND(C6*0.48542,1)+0.1</f>
        <v>4937.5</v>
      </c>
      <c r="F62" s="58" t="s">
        <v>86</v>
      </c>
      <c r="G62" s="58">
        <v>0.37</v>
      </c>
      <c r="H62" s="58" t="s">
        <v>86</v>
      </c>
      <c r="I62" s="58">
        <v>12</v>
      </c>
      <c r="J62" s="58" t="s">
        <v>113</v>
      </c>
      <c r="K62" s="58">
        <v>1</v>
      </c>
      <c r="L62" s="58" t="s">
        <v>113</v>
      </c>
      <c r="M62" s="58">
        <v>1</v>
      </c>
      <c r="N62" s="58" t="s">
        <v>87</v>
      </c>
      <c r="O62" s="181">
        <f>ROUND(E62*G62*I62*K62*M62,1)</f>
        <v>21922.5</v>
      </c>
      <c r="P62" s="126">
        <f>O62</f>
        <v>21922.5</v>
      </c>
      <c r="Q62" s="153"/>
      <c r="X62" s="35">
        <v>43</v>
      </c>
      <c r="Y62" s="61" t="s">
        <v>160</v>
      </c>
      <c r="Z62" s="84" t="s">
        <v>161</v>
      </c>
      <c r="AA62" s="85"/>
      <c r="AB62" s="85" t="s">
        <v>204</v>
      </c>
      <c r="AC62" s="63" t="s">
        <v>90</v>
      </c>
      <c r="AD62" s="122" t="s">
        <v>90</v>
      </c>
      <c r="AE62" s="53" t="s">
        <v>89</v>
      </c>
      <c r="AF62" s="53" t="s">
        <v>89</v>
      </c>
      <c r="AG62" s="122" t="s">
        <v>90</v>
      </c>
      <c r="AH62" s="122" t="s">
        <v>90</v>
      </c>
      <c r="AI62" s="150">
        <f>P41</f>
        <v>2839482</v>
      </c>
      <c r="AJ62" s="63">
        <f t="shared" si="19"/>
        <v>2839482</v>
      </c>
      <c r="AK62" s="80"/>
      <c r="AL62" s="122">
        <f t="shared" si="20"/>
        <v>2839482</v>
      </c>
      <c r="AM62" s="122"/>
      <c r="AN62" s="80"/>
      <c r="AO62" s="64"/>
      <c r="AP62" s="80"/>
      <c r="AQ62" s="80"/>
      <c r="AR62" s="80"/>
      <c r="AS62" s="80"/>
      <c r="AT62" s="64"/>
      <c r="AU62" s="80"/>
      <c r="AV62" s="80"/>
      <c r="AW62" s="80"/>
      <c r="AX62" s="53">
        <f t="shared" si="21"/>
        <v>2839482</v>
      </c>
      <c r="AY62" s="53">
        <f t="shared" si="22"/>
        <v>2839482</v>
      </c>
      <c r="AZ62" s="80"/>
      <c r="BA62" s="80"/>
      <c r="BB62" s="122">
        <f t="shared" si="23"/>
        <v>0</v>
      </c>
      <c r="BC62" s="122"/>
    </row>
    <row r="63" spans="1:55" ht="19.149999999999999" customHeight="1" x14ac:dyDescent="0.2">
      <c r="A63" s="148" t="s">
        <v>206</v>
      </c>
      <c r="B63" s="55"/>
      <c r="C63" s="116"/>
      <c r="D63" s="116"/>
      <c r="E63" s="180">
        <f>ROUND(C6*0.48542,1)+0.1</f>
        <v>4937.5</v>
      </c>
      <c r="F63" s="58" t="s">
        <v>86</v>
      </c>
      <c r="G63" s="58">
        <v>0.28999999999999998</v>
      </c>
      <c r="H63" s="58" t="s">
        <v>86</v>
      </c>
      <c r="I63" s="58">
        <v>12</v>
      </c>
      <c r="J63" s="58" t="s">
        <v>113</v>
      </c>
      <c r="K63" s="58">
        <v>1</v>
      </c>
      <c r="L63" s="58" t="s">
        <v>113</v>
      </c>
      <c r="M63" s="58">
        <v>1</v>
      </c>
      <c r="N63" s="58" t="s">
        <v>87</v>
      </c>
      <c r="O63" s="181">
        <f>ROUND(E63*G63*I63*K63*M63,1)</f>
        <v>17182.5</v>
      </c>
      <c r="P63" s="126">
        <f>O63</f>
        <v>17182.5</v>
      </c>
      <c r="Q63" s="153"/>
      <c r="X63" s="35">
        <v>44</v>
      </c>
      <c r="Y63" s="61" t="s">
        <v>207</v>
      </c>
      <c r="Z63" s="84" t="s">
        <v>208</v>
      </c>
      <c r="AA63" s="85"/>
      <c r="AB63" s="85" t="s">
        <v>204</v>
      </c>
      <c r="AC63" s="63" t="s">
        <v>90</v>
      </c>
      <c r="AD63" s="122" t="s">
        <v>90</v>
      </c>
      <c r="AE63" s="53" t="s">
        <v>89</v>
      </c>
      <c r="AF63" s="53" t="s">
        <v>89</v>
      </c>
      <c r="AG63" s="122" t="s">
        <v>90</v>
      </c>
      <c r="AH63" s="122" t="s">
        <v>90</v>
      </c>
      <c r="AI63" s="150">
        <f>P42</f>
        <v>0</v>
      </c>
      <c r="AJ63" s="63">
        <f t="shared" si="19"/>
        <v>0</v>
      </c>
      <c r="AK63" s="80"/>
      <c r="AL63" s="122">
        <f t="shared" si="20"/>
        <v>0</v>
      </c>
      <c r="AM63" s="122"/>
      <c r="AN63" s="80"/>
      <c r="AO63" s="64"/>
      <c r="AP63" s="80"/>
      <c r="AQ63" s="80"/>
      <c r="AR63" s="80"/>
      <c r="AS63" s="80"/>
      <c r="AT63" s="64"/>
      <c r="AU63" s="80"/>
      <c r="AV63" s="80"/>
      <c r="AW63" s="80"/>
      <c r="AX63" s="53">
        <f t="shared" si="21"/>
        <v>0</v>
      </c>
      <c r="AY63" s="53">
        <f t="shared" si="22"/>
        <v>0</v>
      </c>
      <c r="AZ63" s="80"/>
      <c r="BA63" s="80"/>
      <c r="BB63" s="122">
        <f t="shared" si="23"/>
        <v>0</v>
      </c>
      <c r="BC63" s="122"/>
    </row>
    <row r="64" spans="1:55" ht="45" customHeight="1" x14ac:dyDescent="0.2">
      <c r="A64" s="182" t="s">
        <v>209</v>
      </c>
      <c r="B64" s="155"/>
      <c r="C64" s="156"/>
      <c r="D64" s="156"/>
      <c r="E64" s="157"/>
      <c r="F64" s="157"/>
      <c r="G64" s="157"/>
      <c r="H64" s="157"/>
      <c r="I64" s="157"/>
      <c r="J64" s="157"/>
      <c r="K64" s="157"/>
      <c r="L64" s="157"/>
      <c r="M64" s="157"/>
      <c r="N64" s="157"/>
      <c r="O64" s="157"/>
      <c r="P64" s="183"/>
      <c r="Q64" s="153"/>
      <c r="X64" s="35">
        <v>45</v>
      </c>
      <c r="Y64" s="61" t="s">
        <v>167</v>
      </c>
      <c r="Z64" s="84" t="s">
        <v>168</v>
      </c>
      <c r="AA64" s="85"/>
      <c r="AB64" s="85" t="s">
        <v>204</v>
      </c>
      <c r="AC64" s="63" t="s">
        <v>90</v>
      </c>
      <c r="AD64" s="122" t="s">
        <v>90</v>
      </c>
      <c r="AE64" s="53" t="s">
        <v>89</v>
      </c>
      <c r="AF64" s="53" t="s">
        <v>89</v>
      </c>
      <c r="AG64" s="122" t="s">
        <v>90</v>
      </c>
      <c r="AH64" s="122" t="s">
        <v>90</v>
      </c>
      <c r="AI64" s="150">
        <f>P43</f>
        <v>352688</v>
      </c>
      <c r="AJ64" s="184">
        <f t="shared" si="19"/>
        <v>352688</v>
      </c>
      <c r="AK64" s="80"/>
      <c r="AL64" s="122">
        <f t="shared" si="20"/>
        <v>352688</v>
      </c>
      <c r="AM64" s="122"/>
      <c r="AN64" s="80"/>
      <c r="AO64" s="64"/>
      <c r="AP64" s="80"/>
      <c r="AQ64" s="80"/>
      <c r="AR64" s="80"/>
      <c r="AS64" s="80"/>
      <c r="AT64" s="64"/>
      <c r="AU64" s="80"/>
      <c r="AV64" s="80"/>
      <c r="AW64" s="80"/>
      <c r="AX64" s="53">
        <f t="shared" si="21"/>
        <v>352688</v>
      </c>
      <c r="AY64" s="53">
        <f t="shared" si="22"/>
        <v>352688</v>
      </c>
      <c r="AZ64" s="80"/>
      <c r="BA64" s="80"/>
      <c r="BB64" s="122">
        <f t="shared" si="23"/>
        <v>0</v>
      </c>
      <c r="BC64" s="122"/>
    </row>
    <row r="65" spans="1:55" ht="31.5" customHeight="1" x14ac:dyDescent="0.2">
      <c r="A65" s="132" t="s">
        <v>210</v>
      </c>
      <c r="B65" s="133"/>
      <c r="C65" s="185" t="s">
        <v>211</v>
      </c>
      <c r="D65" s="134"/>
      <c r="E65" s="135"/>
      <c r="F65" s="135"/>
      <c r="G65" s="135"/>
      <c r="H65" s="135"/>
      <c r="I65" s="135"/>
      <c r="J65" s="135"/>
      <c r="K65" s="135"/>
      <c r="L65" s="135"/>
      <c r="M65" s="135"/>
      <c r="N65" s="135"/>
      <c r="O65" s="135"/>
      <c r="P65" s="136">
        <f>P66</f>
        <v>140161.89000000001</v>
      </c>
      <c r="Q65" s="153"/>
      <c r="X65" s="35">
        <v>46</v>
      </c>
      <c r="Y65" s="103" t="s">
        <v>212</v>
      </c>
      <c r="Z65" s="84"/>
      <c r="AA65" s="85"/>
      <c r="AB65" s="85" t="s">
        <v>204</v>
      </c>
      <c r="AC65" s="63" t="s">
        <v>90</v>
      </c>
      <c r="AD65" s="122" t="s">
        <v>90</v>
      </c>
      <c r="AE65" s="53" t="s">
        <v>89</v>
      </c>
      <c r="AF65" s="53" t="s">
        <v>89</v>
      </c>
      <c r="AG65" s="122" t="s">
        <v>90</v>
      </c>
      <c r="AH65" s="122" t="s">
        <v>90</v>
      </c>
      <c r="AI65" s="150"/>
      <c r="AJ65" s="184">
        <f t="shared" si="19"/>
        <v>0</v>
      </c>
      <c r="AK65" s="80"/>
      <c r="AL65" s="122">
        <f t="shared" si="20"/>
        <v>0</v>
      </c>
      <c r="AM65" s="122"/>
      <c r="AN65" s="80"/>
      <c r="AO65" s="64"/>
      <c r="AP65" s="80"/>
      <c r="AQ65" s="80"/>
      <c r="AR65" s="80"/>
      <c r="AS65" s="80"/>
      <c r="AT65" s="64"/>
      <c r="AU65" s="80"/>
      <c r="AV65" s="80"/>
      <c r="AW65" s="80"/>
      <c r="AX65" s="53">
        <f t="shared" si="21"/>
        <v>0</v>
      </c>
      <c r="AY65" s="53">
        <f t="shared" si="22"/>
        <v>0</v>
      </c>
      <c r="AZ65" s="80"/>
      <c r="BA65" s="80"/>
      <c r="BB65" s="122">
        <f t="shared" si="23"/>
        <v>0</v>
      </c>
      <c r="BC65" s="122"/>
    </row>
    <row r="66" spans="1:55" ht="33" customHeight="1" x14ac:dyDescent="0.2">
      <c r="A66" s="148" t="s">
        <v>213</v>
      </c>
      <c r="B66" s="55"/>
      <c r="C66" s="186"/>
      <c r="D66" s="116"/>
      <c r="E66" s="187">
        <f>C7</f>
        <v>10171.4</v>
      </c>
      <c r="F66" s="188" t="s">
        <v>86</v>
      </c>
      <c r="G66" s="189">
        <v>13.78</v>
      </c>
      <c r="H66" s="188" t="s">
        <v>86</v>
      </c>
      <c r="I66" s="188">
        <v>1</v>
      </c>
      <c r="J66" s="188" t="s">
        <v>87</v>
      </c>
      <c r="K66" s="190">
        <f>ROUND(E66*G66*I66,2)</f>
        <v>140161.89000000001</v>
      </c>
      <c r="L66" s="57"/>
      <c r="M66" s="57"/>
      <c r="N66" s="57"/>
      <c r="O66" s="57"/>
      <c r="P66" s="126">
        <f>K66</f>
        <v>140161.89000000001</v>
      </c>
      <c r="Q66" s="153"/>
      <c r="X66" s="35" t="s">
        <v>214</v>
      </c>
      <c r="Y66" s="103" t="s">
        <v>215</v>
      </c>
      <c r="Z66" s="84"/>
      <c r="AA66" s="85"/>
      <c r="AB66" s="85" t="s">
        <v>204</v>
      </c>
      <c r="AC66" s="63" t="s">
        <v>90</v>
      </c>
      <c r="AD66" s="122" t="s">
        <v>90</v>
      </c>
      <c r="AE66" s="53" t="s">
        <v>90</v>
      </c>
      <c r="AF66" s="53" t="s">
        <v>90</v>
      </c>
      <c r="AG66" s="122" t="s">
        <v>90</v>
      </c>
      <c r="AH66" s="122" t="s">
        <v>90</v>
      </c>
      <c r="AI66" s="150">
        <f>P56</f>
        <v>0</v>
      </c>
      <c r="AJ66" s="184">
        <f t="shared" si="19"/>
        <v>0</v>
      </c>
      <c r="AK66" s="80"/>
      <c r="AL66" s="122">
        <f t="shared" si="20"/>
        <v>0</v>
      </c>
      <c r="AM66" s="122"/>
      <c r="AN66" s="80"/>
      <c r="AO66" s="64"/>
      <c r="AP66" s="80"/>
      <c r="AQ66" s="80"/>
      <c r="AR66" s="80"/>
      <c r="AS66" s="80"/>
      <c r="AT66" s="64"/>
      <c r="AU66" s="80"/>
      <c r="AV66" s="80"/>
      <c r="AW66" s="80"/>
      <c r="AX66" s="53">
        <f t="shared" si="21"/>
        <v>0</v>
      </c>
      <c r="AY66" s="53">
        <f t="shared" si="22"/>
        <v>0</v>
      </c>
      <c r="AZ66" s="80"/>
      <c r="BA66" s="80"/>
      <c r="BB66" s="122">
        <f t="shared" si="23"/>
        <v>0</v>
      </c>
      <c r="BC66" s="122"/>
    </row>
    <row r="67" spans="1:55" ht="16.899999999999999" customHeight="1" x14ac:dyDescent="0.2">
      <c r="A67" s="191" t="s">
        <v>216</v>
      </c>
      <c r="B67" s="55"/>
      <c r="C67" s="186" t="s">
        <v>217</v>
      </c>
      <c r="D67" s="116"/>
      <c r="E67" s="57"/>
      <c r="F67" s="57"/>
      <c r="G67" s="57"/>
      <c r="H67" s="57"/>
      <c r="I67" s="57"/>
      <c r="J67" s="57"/>
      <c r="K67" s="57"/>
      <c r="L67" s="57"/>
      <c r="M67" s="57"/>
      <c r="N67" s="57"/>
      <c r="O67" s="57"/>
      <c r="P67" s="127"/>
      <c r="Q67" s="153"/>
      <c r="X67" s="35">
        <v>47</v>
      </c>
      <c r="Y67" s="61" t="s">
        <v>218</v>
      </c>
      <c r="Z67" s="84" t="s">
        <v>219</v>
      </c>
      <c r="AA67" s="85"/>
      <c r="AB67" s="85" t="s">
        <v>204</v>
      </c>
      <c r="AC67" s="63" t="s">
        <v>90</v>
      </c>
      <c r="AD67" s="122" t="s">
        <v>90</v>
      </c>
      <c r="AE67" s="53" t="s">
        <v>89</v>
      </c>
      <c r="AF67" s="53" t="s">
        <v>89</v>
      </c>
      <c r="AG67" s="122" t="s">
        <v>90</v>
      </c>
      <c r="AH67" s="122" t="s">
        <v>90</v>
      </c>
      <c r="AI67" s="150"/>
      <c r="AJ67" s="63">
        <f t="shared" si="19"/>
        <v>0</v>
      </c>
      <c r="AK67" s="80"/>
      <c r="AL67" s="122">
        <f t="shared" si="20"/>
        <v>0</v>
      </c>
      <c r="AM67" s="122"/>
      <c r="AN67" s="80"/>
      <c r="AO67" s="64"/>
      <c r="AP67" s="80"/>
      <c r="AQ67" s="80"/>
      <c r="AR67" s="80"/>
      <c r="AS67" s="80"/>
      <c r="AT67" s="64"/>
      <c r="AU67" s="80"/>
      <c r="AV67" s="80"/>
      <c r="AW67" s="80"/>
      <c r="AX67" s="53">
        <f t="shared" si="21"/>
        <v>0</v>
      </c>
      <c r="AY67" s="53">
        <f t="shared" si="22"/>
        <v>0</v>
      </c>
      <c r="AZ67" s="80"/>
      <c r="BA67" s="80"/>
      <c r="BB67" s="122">
        <f t="shared" si="23"/>
        <v>0</v>
      </c>
      <c r="BC67" s="122"/>
    </row>
    <row r="68" spans="1:55" ht="18.600000000000001" customHeight="1" x14ac:dyDescent="0.2">
      <c r="A68" s="192" t="s">
        <v>220</v>
      </c>
      <c r="B68" s="193"/>
      <c r="C68" s="194" t="s">
        <v>221</v>
      </c>
      <c r="D68" s="195"/>
      <c r="E68" s="196">
        <f>C7</f>
        <v>10171.4</v>
      </c>
      <c r="F68" s="196" t="s">
        <v>86</v>
      </c>
      <c r="G68" s="196">
        <v>1.5</v>
      </c>
      <c r="H68" s="196" t="s">
        <v>86</v>
      </c>
      <c r="I68" s="196">
        <v>12</v>
      </c>
      <c r="J68" s="196" t="s">
        <v>87</v>
      </c>
      <c r="K68" s="196">
        <f>ROUND(E68*G68*I68,2)</f>
        <v>183085.2</v>
      </c>
      <c r="L68" s="196"/>
      <c r="M68" s="196"/>
      <c r="N68" s="196"/>
      <c r="O68" s="196"/>
      <c r="P68" s="197">
        <f>K68</f>
        <v>183085.2</v>
      </c>
      <c r="Q68" s="153"/>
      <c r="X68" s="35">
        <v>48</v>
      </c>
      <c r="Y68" s="198" t="s">
        <v>222</v>
      </c>
      <c r="Z68" s="199"/>
      <c r="AA68" s="200"/>
      <c r="AB68" s="200"/>
      <c r="AC68" s="201" t="s">
        <v>90</v>
      </c>
      <c r="AD68" s="201" t="s">
        <v>90</v>
      </c>
      <c r="AE68" s="201" t="s">
        <v>90</v>
      </c>
      <c r="AF68" s="201" t="s">
        <v>90</v>
      </c>
      <c r="AG68" s="201" t="s">
        <v>90</v>
      </c>
      <c r="AH68" s="201" t="s">
        <v>90</v>
      </c>
      <c r="AI68" s="201" t="e">
        <f t="shared" ref="AI68:BA68" si="24">AI69+AI74+AI81+AI100+AI117+AI120+AI124+AI128+AI130+AI133+AI136+AI138</f>
        <v>#REF!</v>
      </c>
      <c r="AJ68" s="201" t="e">
        <f t="shared" si="24"/>
        <v>#REF!</v>
      </c>
      <c r="AK68" s="201">
        <f t="shared" si="24"/>
        <v>0</v>
      </c>
      <c r="AL68" s="201" t="e">
        <f t="shared" si="24"/>
        <v>#REF!</v>
      </c>
      <c r="AM68" s="201"/>
      <c r="AN68" s="201">
        <f t="shared" si="24"/>
        <v>0</v>
      </c>
      <c r="AO68" s="201">
        <f t="shared" si="24"/>
        <v>0</v>
      </c>
      <c r="AP68" s="201">
        <f t="shared" si="24"/>
        <v>0</v>
      </c>
      <c r="AQ68" s="201"/>
      <c r="AR68" s="201"/>
      <c r="AS68" s="201">
        <f t="shared" si="24"/>
        <v>0</v>
      </c>
      <c r="AT68" s="201">
        <f t="shared" si="24"/>
        <v>0</v>
      </c>
      <c r="AU68" s="201" t="e">
        <f t="shared" si="24"/>
        <v>#REF!</v>
      </c>
      <c r="AV68" s="201" t="e">
        <f t="shared" si="24"/>
        <v>#REF!</v>
      </c>
      <c r="AW68" s="201">
        <f t="shared" si="24"/>
        <v>0</v>
      </c>
      <c r="AX68" s="201">
        <f t="shared" si="24"/>
        <v>1243593.9099999999</v>
      </c>
      <c r="AY68" s="201">
        <f t="shared" si="24"/>
        <v>1243593.9099999999</v>
      </c>
      <c r="AZ68" s="201">
        <f t="shared" si="24"/>
        <v>0</v>
      </c>
      <c r="BA68" s="201">
        <f t="shared" si="24"/>
        <v>0</v>
      </c>
      <c r="BB68" s="201">
        <f>BB69+BB74+BB81+BB100+BB117+BB120+BB124+BB128+BB130+BB133+BB136+BB138</f>
        <v>178000</v>
      </c>
      <c r="BC68" s="201"/>
    </row>
    <row r="69" spans="1:55" ht="45" customHeight="1" x14ac:dyDescent="0.2">
      <c r="A69" s="132" t="s">
        <v>223</v>
      </c>
      <c r="B69" s="133"/>
      <c r="C69" s="202">
        <v>225010</v>
      </c>
      <c r="D69" s="134"/>
      <c r="E69" s="203">
        <f>C5</f>
        <v>1801</v>
      </c>
      <c r="F69" s="203" t="s">
        <v>86</v>
      </c>
      <c r="G69" s="203">
        <v>6.6298226729363776</v>
      </c>
      <c r="H69" s="203" t="s">
        <v>86</v>
      </c>
      <c r="I69" s="203">
        <v>1</v>
      </c>
      <c r="J69" s="203" t="s">
        <v>87</v>
      </c>
      <c r="K69" s="203">
        <f>ROUND(E69*G69*I69,0)</f>
        <v>11940</v>
      </c>
      <c r="L69" s="135"/>
      <c r="M69" s="135"/>
      <c r="N69" s="135"/>
      <c r="O69" s="204"/>
      <c r="P69" s="205">
        <f>K69</f>
        <v>11940</v>
      </c>
      <c r="Q69" s="153"/>
      <c r="X69" s="94">
        <v>49</v>
      </c>
      <c r="Y69" s="95" t="s">
        <v>224</v>
      </c>
      <c r="Z69" s="206"/>
      <c r="AA69" s="207"/>
      <c r="AB69" s="207"/>
      <c r="AC69" s="208" t="s">
        <v>90</v>
      </c>
      <c r="AD69" s="208" t="s">
        <v>90</v>
      </c>
      <c r="AE69" s="208" t="s">
        <v>90</v>
      </c>
      <c r="AF69" s="208" t="s">
        <v>90</v>
      </c>
      <c r="AG69" s="208" t="s">
        <v>90</v>
      </c>
      <c r="AH69" s="208" t="s">
        <v>90</v>
      </c>
      <c r="AI69" s="208">
        <f>SUM(AI70:AI73)</f>
        <v>37000</v>
      </c>
      <c r="AJ69" s="208">
        <f t="shared" ref="AJ69:BC69" si="25">SUM(AJ70:AJ73)</f>
        <v>37000</v>
      </c>
      <c r="AK69" s="80">
        <f t="shared" si="25"/>
        <v>0</v>
      </c>
      <c r="AL69" s="208">
        <f t="shared" si="25"/>
        <v>37000</v>
      </c>
      <c r="AM69" s="208"/>
      <c r="AN69" s="208">
        <f t="shared" si="25"/>
        <v>0</v>
      </c>
      <c r="AO69" s="64">
        <f t="shared" si="25"/>
        <v>0</v>
      </c>
      <c r="AP69" s="80">
        <f t="shared" si="25"/>
        <v>0</v>
      </c>
      <c r="AQ69" s="80"/>
      <c r="AR69" s="80"/>
      <c r="AS69" s="80">
        <f t="shared" si="25"/>
        <v>0</v>
      </c>
      <c r="AT69" s="209">
        <f t="shared" si="25"/>
        <v>0</v>
      </c>
      <c r="AU69" s="209">
        <f t="shared" si="25"/>
        <v>0</v>
      </c>
      <c r="AV69" s="209"/>
      <c r="AW69" s="209">
        <f t="shared" si="25"/>
        <v>0</v>
      </c>
      <c r="AX69" s="209">
        <f t="shared" si="25"/>
        <v>37000</v>
      </c>
      <c r="AY69" s="209">
        <f t="shared" si="25"/>
        <v>37000</v>
      </c>
      <c r="AZ69" s="80">
        <f t="shared" si="25"/>
        <v>0</v>
      </c>
      <c r="BA69" s="80">
        <f t="shared" si="25"/>
        <v>0</v>
      </c>
      <c r="BB69" s="209">
        <f t="shared" si="25"/>
        <v>0</v>
      </c>
      <c r="BC69" s="208">
        <f t="shared" si="25"/>
        <v>0</v>
      </c>
    </row>
    <row r="70" spans="1:55" ht="19.149999999999999" customHeight="1" x14ac:dyDescent="0.2">
      <c r="A70" s="210" t="s">
        <v>225</v>
      </c>
      <c r="B70" s="133"/>
      <c r="C70" s="202">
        <v>225011</v>
      </c>
      <c r="D70" s="134"/>
      <c r="E70" s="135"/>
      <c r="F70" s="135"/>
      <c r="G70" s="135"/>
      <c r="H70" s="135"/>
      <c r="I70" s="135"/>
      <c r="J70" s="135"/>
      <c r="K70" s="135"/>
      <c r="L70" s="135"/>
      <c r="M70" s="135"/>
      <c r="N70" s="135"/>
      <c r="O70" s="204"/>
      <c r="P70" s="211"/>
      <c r="Q70" s="153"/>
      <c r="X70" s="35">
        <v>50</v>
      </c>
      <c r="Y70" s="61" t="s">
        <v>226</v>
      </c>
      <c r="Z70" s="84" t="s">
        <v>111</v>
      </c>
      <c r="AA70" s="85"/>
      <c r="AB70" s="85" t="s">
        <v>227</v>
      </c>
      <c r="AC70" s="63" t="s">
        <v>90</v>
      </c>
      <c r="AD70" s="122" t="s">
        <v>90</v>
      </c>
      <c r="AE70" s="53" t="s">
        <v>89</v>
      </c>
      <c r="AF70" s="53" t="s">
        <v>89</v>
      </c>
      <c r="AG70" s="122" t="s">
        <v>90</v>
      </c>
      <c r="AH70" s="122" t="s">
        <v>90</v>
      </c>
      <c r="AI70" s="150">
        <f>P27</f>
        <v>37000</v>
      </c>
      <c r="AJ70" s="212">
        <f>AK70+AL70+AN70</f>
        <v>37000</v>
      </c>
      <c r="AK70" s="145"/>
      <c r="AL70" s="122">
        <f>AS70+AU70+AX70+BA70+BB70</f>
        <v>37000</v>
      </c>
      <c r="AM70" s="122"/>
      <c r="AN70" s="122"/>
      <c r="AO70" s="213"/>
      <c r="AP70" s="145"/>
      <c r="AQ70" s="145"/>
      <c r="AR70" s="145"/>
      <c r="AS70" s="145"/>
      <c r="AT70" s="122"/>
      <c r="AU70" s="122"/>
      <c r="AV70" s="122"/>
      <c r="AW70" s="122"/>
      <c r="AX70" s="184">
        <f>AY70</f>
        <v>37000</v>
      </c>
      <c r="AY70" s="184">
        <f>AI70</f>
        <v>37000</v>
      </c>
      <c r="AZ70" s="145"/>
      <c r="BA70" s="145"/>
      <c r="BB70" s="122">
        <f>AI70-AX70</f>
        <v>0</v>
      </c>
      <c r="BC70" s="122"/>
    </row>
    <row r="71" spans="1:55" ht="17.45" customHeight="1" x14ac:dyDescent="0.2">
      <c r="A71" s="210" t="s">
        <v>228</v>
      </c>
      <c r="B71" s="133"/>
      <c r="C71" s="185">
        <v>225012</v>
      </c>
      <c r="D71" s="134"/>
      <c r="E71" s="135"/>
      <c r="F71" s="135"/>
      <c r="G71" s="135"/>
      <c r="H71" s="135"/>
      <c r="I71" s="135"/>
      <c r="J71" s="135"/>
      <c r="K71" s="135"/>
      <c r="L71" s="135"/>
      <c r="M71" s="135"/>
      <c r="N71" s="135"/>
      <c r="O71" s="135"/>
      <c r="P71" s="211"/>
      <c r="Q71" s="153"/>
      <c r="X71" s="35">
        <v>51</v>
      </c>
      <c r="Y71" s="61" t="s">
        <v>229</v>
      </c>
      <c r="Z71" s="84" t="s">
        <v>230</v>
      </c>
      <c r="AA71" s="85"/>
      <c r="AB71" s="85" t="s">
        <v>227</v>
      </c>
      <c r="AC71" s="63" t="s">
        <v>90</v>
      </c>
      <c r="AD71" s="122" t="s">
        <v>90</v>
      </c>
      <c r="AE71" s="53" t="s">
        <v>89</v>
      </c>
      <c r="AF71" s="53" t="s">
        <v>89</v>
      </c>
      <c r="AG71" s="122" t="s">
        <v>90</v>
      </c>
      <c r="AH71" s="122" t="s">
        <v>90</v>
      </c>
      <c r="AI71" s="150"/>
      <c r="AJ71" s="63">
        <f>AK71+AL71+AN71</f>
        <v>0</v>
      </c>
      <c r="AK71" s="80"/>
      <c r="AL71" s="122">
        <f>AS71+AU71+AX71+BA71+BB71</f>
        <v>0</v>
      </c>
      <c r="AM71" s="122"/>
      <c r="AN71" s="122"/>
      <c r="AO71" s="64"/>
      <c r="AP71" s="80"/>
      <c r="AQ71" s="80"/>
      <c r="AR71" s="80"/>
      <c r="AS71" s="80"/>
      <c r="AT71" s="122"/>
      <c r="AU71" s="122"/>
      <c r="AV71" s="122"/>
      <c r="AW71" s="122"/>
      <c r="AX71" s="184">
        <f>AY71</f>
        <v>0</v>
      </c>
      <c r="AY71" s="53">
        <f>AI71</f>
        <v>0</v>
      </c>
      <c r="AZ71" s="80"/>
      <c r="BA71" s="80"/>
      <c r="BB71" s="122">
        <f>AI71-AX71</f>
        <v>0</v>
      </c>
      <c r="BC71" s="122"/>
    </row>
    <row r="72" spans="1:55" ht="19.899999999999999" customHeight="1" x14ac:dyDescent="0.2">
      <c r="A72" s="132" t="s">
        <v>231</v>
      </c>
      <c r="B72" s="133"/>
      <c r="C72" s="185">
        <v>225013</v>
      </c>
      <c r="D72" s="134"/>
      <c r="E72" s="135"/>
      <c r="F72" s="135"/>
      <c r="G72" s="135"/>
      <c r="H72" s="135"/>
      <c r="I72" s="135"/>
      <c r="J72" s="135"/>
      <c r="K72" s="135"/>
      <c r="L72" s="135"/>
      <c r="M72" s="135"/>
      <c r="N72" s="135"/>
      <c r="O72" s="135"/>
      <c r="P72" s="136"/>
      <c r="Q72" s="153"/>
      <c r="X72" s="35">
        <v>52</v>
      </c>
      <c r="Y72" s="61" t="s">
        <v>125</v>
      </c>
      <c r="Z72" s="84" t="s">
        <v>126</v>
      </c>
      <c r="AA72" s="85"/>
      <c r="AB72" s="85" t="s">
        <v>227</v>
      </c>
      <c r="AC72" s="63" t="s">
        <v>90</v>
      </c>
      <c r="AD72" s="122" t="s">
        <v>90</v>
      </c>
      <c r="AE72" s="53" t="s">
        <v>89</v>
      </c>
      <c r="AF72" s="53" t="s">
        <v>89</v>
      </c>
      <c r="AG72" s="122" t="s">
        <v>90</v>
      </c>
      <c r="AH72" s="122" t="s">
        <v>90</v>
      </c>
      <c r="AI72" s="150">
        <f>P32</f>
        <v>0</v>
      </c>
      <c r="AJ72" s="63">
        <f>AK72+AL72+AN72</f>
        <v>0</v>
      </c>
      <c r="AK72" s="80"/>
      <c r="AL72" s="122">
        <f>AS72+AU72+AX72+BA72+BB72</f>
        <v>0</v>
      </c>
      <c r="AM72" s="122"/>
      <c r="AN72" s="122"/>
      <c r="AO72" s="64"/>
      <c r="AP72" s="80"/>
      <c r="AQ72" s="80"/>
      <c r="AR72" s="80"/>
      <c r="AS72" s="80"/>
      <c r="AT72" s="122"/>
      <c r="AU72" s="122"/>
      <c r="AV72" s="122"/>
      <c r="AW72" s="122"/>
      <c r="AX72" s="184">
        <f>AY72</f>
        <v>0</v>
      </c>
      <c r="AY72" s="53">
        <f>AI72</f>
        <v>0</v>
      </c>
      <c r="AZ72" s="80"/>
      <c r="BA72" s="80"/>
      <c r="BB72" s="122">
        <f>AI72-AX72</f>
        <v>0</v>
      </c>
      <c r="BC72" s="122"/>
    </row>
    <row r="73" spans="1:55" ht="31.9" customHeight="1" x14ac:dyDescent="0.2">
      <c r="A73" s="214" t="s">
        <v>232</v>
      </c>
      <c r="B73" s="133"/>
      <c r="C73" s="185">
        <v>225015</v>
      </c>
      <c r="D73" s="134"/>
      <c r="E73" s="135"/>
      <c r="F73" s="135"/>
      <c r="G73" s="135"/>
      <c r="H73" s="135"/>
      <c r="I73" s="135"/>
      <c r="J73" s="135"/>
      <c r="K73" s="135"/>
      <c r="L73" s="135"/>
      <c r="M73" s="135"/>
      <c r="N73" s="135"/>
      <c r="O73" s="135"/>
      <c r="P73" s="215">
        <f>SUM(P74:P80)</f>
        <v>196139.04</v>
      </c>
      <c r="Q73" s="153"/>
      <c r="X73" s="35">
        <v>53</v>
      </c>
      <c r="Y73" s="61" t="s">
        <v>129</v>
      </c>
      <c r="Z73" s="84" t="s">
        <v>130</v>
      </c>
      <c r="AA73" s="85"/>
      <c r="AB73" s="85" t="s">
        <v>227</v>
      </c>
      <c r="AC73" s="63" t="s">
        <v>90</v>
      </c>
      <c r="AD73" s="122" t="s">
        <v>90</v>
      </c>
      <c r="AE73" s="53" t="s">
        <v>89</v>
      </c>
      <c r="AF73" s="53" t="s">
        <v>89</v>
      </c>
      <c r="AG73" s="122" t="s">
        <v>90</v>
      </c>
      <c r="AH73" s="122" t="s">
        <v>90</v>
      </c>
      <c r="AI73" s="150"/>
      <c r="AJ73" s="63">
        <f>AK73+AL73+AN73</f>
        <v>0</v>
      </c>
      <c r="AK73" s="80"/>
      <c r="AL73" s="122">
        <f>AS73+AU73+AX73+BA73+BB73</f>
        <v>0</v>
      </c>
      <c r="AM73" s="122"/>
      <c r="AN73" s="122"/>
      <c r="AO73" s="64"/>
      <c r="AP73" s="80"/>
      <c r="AQ73" s="80"/>
      <c r="AR73" s="80"/>
      <c r="AS73" s="80"/>
      <c r="AT73" s="122"/>
      <c r="AU73" s="122"/>
      <c r="AV73" s="122"/>
      <c r="AW73" s="122"/>
      <c r="AX73" s="184">
        <f>AY73</f>
        <v>0</v>
      </c>
      <c r="AY73" s="53">
        <f>AI73</f>
        <v>0</v>
      </c>
      <c r="AZ73" s="80"/>
      <c r="BA73" s="80"/>
      <c r="BB73" s="122">
        <f>AI73-AX73</f>
        <v>0</v>
      </c>
      <c r="BC73" s="122"/>
    </row>
    <row r="74" spans="1:55" ht="19.149999999999999" customHeight="1" x14ac:dyDescent="0.2">
      <c r="A74" s="216" t="s">
        <v>233</v>
      </c>
      <c r="B74" s="55"/>
      <c r="C74" s="186"/>
      <c r="D74" s="116"/>
      <c r="E74" s="58"/>
      <c r="F74" s="58" t="s">
        <v>86</v>
      </c>
      <c r="G74" s="58"/>
      <c r="H74" s="59" t="s">
        <v>87</v>
      </c>
      <c r="I74" s="59">
        <f>ROUND(E74*G74,0)</f>
        <v>0</v>
      </c>
      <c r="J74" s="57"/>
      <c r="K74" s="57"/>
      <c r="L74" s="57"/>
      <c r="M74" s="57"/>
      <c r="N74" s="57"/>
      <c r="O74" s="57"/>
      <c r="P74" s="127">
        <f>I74</f>
        <v>0</v>
      </c>
      <c r="Q74" s="153"/>
      <c r="X74" s="94">
        <v>54</v>
      </c>
      <c r="Y74" s="95" t="s">
        <v>234</v>
      </c>
      <c r="Z74" s="96"/>
      <c r="AA74" s="97"/>
      <c r="AB74" s="97"/>
      <c r="AC74" s="208" t="s">
        <v>90</v>
      </c>
      <c r="AD74" s="208" t="s">
        <v>90</v>
      </c>
      <c r="AE74" s="208" t="s">
        <v>89</v>
      </c>
      <c r="AF74" s="208" t="s">
        <v>89</v>
      </c>
      <c r="AG74" s="208" t="s">
        <v>90</v>
      </c>
      <c r="AH74" s="208" t="s">
        <v>90</v>
      </c>
      <c r="AI74" s="208"/>
      <c r="AJ74" s="208">
        <f>SUM(AJ77:AJ80)</f>
        <v>0</v>
      </c>
      <c r="AK74" s="80">
        <f t="shared" ref="AK74:BC74" si="26">SUM(AK77:AK80)</f>
        <v>0</v>
      </c>
      <c r="AL74" s="208">
        <f t="shared" si="26"/>
        <v>0</v>
      </c>
      <c r="AM74" s="208"/>
      <c r="AN74" s="208">
        <f t="shared" si="26"/>
        <v>0</v>
      </c>
      <c r="AO74" s="64">
        <f t="shared" si="26"/>
        <v>0</v>
      </c>
      <c r="AP74" s="80">
        <f t="shared" si="26"/>
        <v>0</v>
      </c>
      <c r="AQ74" s="80"/>
      <c r="AR74" s="80"/>
      <c r="AS74" s="80">
        <f t="shared" si="26"/>
        <v>0</v>
      </c>
      <c r="AT74" s="209">
        <f t="shared" si="26"/>
        <v>0</v>
      </c>
      <c r="AU74" s="209">
        <f t="shared" si="26"/>
        <v>0</v>
      </c>
      <c r="AV74" s="209"/>
      <c r="AW74" s="209">
        <f t="shared" si="26"/>
        <v>0</v>
      </c>
      <c r="AX74" s="209">
        <f t="shared" si="26"/>
        <v>0</v>
      </c>
      <c r="AY74" s="209">
        <f t="shared" si="26"/>
        <v>0</v>
      </c>
      <c r="AZ74" s="209">
        <f t="shared" si="26"/>
        <v>0</v>
      </c>
      <c r="BA74" s="80">
        <f t="shared" si="26"/>
        <v>0</v>
      </c>
      <c r="BB74" s="209">
        <f t="shared" si="26"/>
        <v>0</v>
      </c>
      <c r="BC74" s="208">
        <f t="shared" si="26"/>
        <v>0</v>
      </c>
    </row>
    <row r="75" spans="1:55" ht="19.149999999999999" customHeight="1" x14ac:dyDescent="0.2">
      <c r="A75" s="216" t="s">
        <v>235</v>
      </c>
      <c r="B75" s="55"/>
      <c r="C75" s="186"/>
      <c r="D75" s="116"/>
      <c r="E75" s="58"/>
      <c r="F75" s="58"/>
      <c r="G75" s="58"/>
      <c r="H75" s="59"/>
      <c r="I75" s="59"/>
      <c r="J75" s="57"/>
      <c r="K75" s="57"/>
      <c r="L75" s="57"/>
      <c r="M75" s="57"/>
      <c r="N75" s="57"/>
      <c r="O75" s="57"/>
      <c r="P75" s="127">
        <f>I75</f>
        <v>0</v>
      </c>
      <c r="Q75" s="153"/>
      <c r="X75" s="35">
        <v>55</v>
      </c>
      <c r="Y75" s="61" t="s">
        <v>236</v>
      </c>
      <c r="Z75" s="84" t="s">
        <v>150</v>
      </c>
      <c r="AA75" s="85"/>
      <c r="AB75" s="85" t="s">
        <v>237</v>
      </c>
      <c r="AC75" s="63" t="s">
        <v>90</v>
      </c>
      <c r="AD75" s="122" t="s">
        <v>90</v>
      </c>
      <c r="AE75" s="53" t="s">
        <v>89</v>
      </c>
      <c r="AF75" s="53" t="s">
        <v>89</v>
      </c>
      <c r="AG75" s="122" t="s">
        <v>90</v>
      </c>
      <c r="AH75" s="122" t="s">
        <v>90</v>
      </c>
      <c r="AI75" s="150"/>
      <c r="AJ75" s="63">
        <f>AK75+AL75+AN75</f>
        <v>0</v>
      </c>
      <c r="AK75" s="80"/>
      <c r="AL75" s="122">
        <f>AS75+AU75+AX75+BA75+BB75</f>
        <v>0</v>
      </c>
      <c r="AM75" s="122"/>
      <c r="AN75" s="122"/>
      <c r="AO75" s="64"/>
      <c r="AP75" s="80"/>
      <c r="AQ75" s="80"/>
      <c r="AR75" s="80"/>
      <c r="AS75" s="80"/>
      <c r="AT75" s="150"/>
      <c r="AU75" s="122"/>
      <c r="AV75" s="122"/>
      <c r="AW75" s="122"/>
      <c r="AX75" s="184">
        <f>AY75</f>
        <v>0</v>
      </c>
      <c r="AY75" s="53">
        <f>AI75</f>
        <v>0</v>
      </c>
      <c r="AZ75" s="53"/>
      <c r="BA75" s="80"/>
      <c r="BB75" s="122">
        <f>AI75-AX75</f>
        <v>0</v>
      </c>
      <c r="BC75" s="122"/>
    </row>
    <row r="76" spans="1:55" ht="19.149999999999999" customHeight="1" x14ac:dyDescent="0.2">
      <c r="A76" s="216" t="s">
        <v>238</v>
      </c>
      <c r="B76" s="55"/>
      <c r="C76" s="186"/>
      <c r="D76" s="116"/>
      <c r="E76" s="58"/>
      <c r="F76" s="58"/>
      <c r="G76" s="58"/>
      <c r="H76" s="59"/>
      <c r="I76" s="59"/>
      <c r="J76" s="57"/>
      <c r="K76" s="57"/>
      <c r="L76" s="57"/>
      <c r="M76" s="57"/>
      <c r="N76" s="57"/>
      <c r="O76" s="57"/>
      <c r="P76" s="217"/>
      <c r="Q76" s="153"/>
      <c r="X76" s="35"/>
      <c r="Y76" s="61"/>
      <c r="Z76" s="84"/>
      <c r="AA76" s="85"/>
      <c r="AB76" s="85"/>
      <c r="AC76" s="63"/>
      <c r="AD76" s="122"/>
      <c r="AE76" s="53"/>
      <c r="AF76" s="53"/>
      <c r="AG76" s="122"/>
      <c r="AH76" s="122"/>
      <c r="AI76" s="150"/>
      <c r="AJ76" s="63"/>
      <c r="AK76" s="80"/>
      <c r="AL76" s="122"/>
      <c r="AM76" s="122"/>
      <c r="AN76" s="122"/>
      <c r="AO76" s="64"/>
      <c r="AP76" s="80"/>
      <c r="AQ76" s="80"/>
      <c r="AR76" s="80"/>
      <c r="AS76" s="80"/>
      <c r="AT76" s="150"/>
      <c r="AU76" s="122"/>
      <c r="AV76" s="122"/>
      <c r="AW76" s="122"/>
      <c r="AX76" s="184"/>
      <c r="AY76" s="53"/>
      <c r="AZ76" s="53"/>
      <c r="BA76" s="80"/>
      <c r="BB76" s="122"/>
      <c r="BC76" s="122"/>
    </row>
    <row r="77" spans="1:55" ht="48.6" customHeight="1" x14ac:dyDescent="0.2">
      <c r="A77" s="148" t="s">
        <v>239</v>
      </c>
      <c r="B77" s="55"/>
      <c r="C77" s="186"/>
      <c r="D77" s="116"/>
      <c r="E77" s="58">
        <f>C5</f>
        <v>1801</v>
      </c>
      <c r="F77" s="58" t="s">
        <v>86</v>
      </c>
      <c r="G77" s="218">
        <v>34.314186248912101</v>
      </c>
      <c r="H77" s="58" t="s">
        <v>86</v>
      </c>
      <c r="I77" s="58">
        <v>1</v>
      </c>
      <c r="J77" s="58" t="s">
        <v>87</v>
      </c>
      <c r="K77" s="219">
        <f>ROUND(E77*G77*I77,0)</f>
        <v>61800</v>
      </c>
      <c r="L77" s="57"/>
      <c r="M77" s="57"/>
      <c r="N77" s="57"/>
      <c r="O77" s="57"/>
      <c r="P77" s="220">
        <f>K77</f>
        <v>61800</v>
      </c>
      <c r="Q77" s="153"/>
      <c r="X77" s="35">
        <v>56</v>
      </c>
      <c r="Y77" s="61" t="s">
        <v>240</v>
      </c>
      <c r="Z77" s="84"/>
      <c r="AA77" s="85"/>
      <c r="AB77" s="85"/>
      <c r="AC77" s="122" t="s">
        <v>90</v>
      </c>
      <c r="AD77" s="122" t="s">
        <v>90</v>
      </c>
      <c r="AE77" s="122" t="s">
        <v>90</v>
      </c>
      <c r="AF77" s="122" t="s">
        <v>90</v>
      </c>
      <c r="AG77" s="122" t="s">
        <v>90</v>
      </c>
      <c r="AH77" s="122" t="s">
        <v>90</v>
      </c>
      <c r="AI77" s="122"/>
      <c r="AJ77" s="63">
        <f>AK77+AL77+AN77</f>
        <v>0</v>
      </c>
      <c r="AK77" s="80"/>
      <c r="AL77" s="122">
        <f>AS77+AU77+AX77+BA77+BB77</f>
        <v>0</v>
      </c>
      <c r="AM77" s="122"/>
      <c r="AN77" s="122"/>
      <c r="AO77" s="64"/>
      <c r="AP77" s="80"/>
      <c r="AQ77" s="80"/>
      <c r="AR77" s="80"/>
      <c r="AS77" s="80"/>
      <c r="AT77" s="150"/>
      <c r="AU77" s="150"/>
      <c r="AV77" s="150"/>
      <c r="AW77" s="150"/>
      <c r="AX77" s="184">
        <f>AY77</f>
        <v>0</v>
      </c>
      <c r="AY77" s="53">
        <f>AI77</f>
        <v>0</v>
      </c>
      <c r="AZ77" s="53"/>
      <c r="BA77" s="80"/>
      <c r="BB77" s="122">
        <f>AI77-AX77</f>
        <v>0</v>
      </c>
      <c r="BC77" s="122"/>
    </row>
    <row r="78" spans="1:55" ht="26.45" customHeight="1" x14ac:dyDescent="0.2">
      <c r="A78" s="148" t="s">
        <v>241</v>
      </c>
      <c r="B78" s="55"/>
      <c r="C78" s="186"/>
      <c r="D78" s="116"/>
      <c r="E78" s="58">
        <v>2</v>
      </c>
      <c r="F78" s="58" t="s">
        <v>86</v>
      </c>
      <c r="G78" s="219">
        <v>3632</v>
      </c>
      <c r="H78" s="58" t="s">
        <v>86</v>
      </c>
      <c r="I78" s="58">
        <v>12</v>
      </c>
      <c r="J78" s="58" t="s">
        <v>87</v>
      </c>
      <c r="K78" s="219">
        <f>ROUND(E78*G78*I78,2)</f>
        <v>87168</v>
      </c>
      <c r="L78" s="57"/>
      <c r="M78" s="57"/>
      <c r="N78" s="57"/>
      <c r="O78" s="57"/>
      <c r="P78" s="126">
        <f>K78</f>
        <v>87168</v>
      </c>
      <c r="Q78" s="153"/>
      <c r="X78" s="35">
        <v>57</v>
      </c>
      <c r="Y78" s="61" t="s">
        <v>242</v>
      </c>
      <c r="Z78" s="84" t="s">
        <v>243</v>
      </c>
      <c r="AA78" s="85"/>
      <c r="AB78" s="85" t="s">
        <v>244</v>
      </c>
      <c r="AC78" s="63" t="s">
        <v>90</v>
      </c>
      <c r="AD78" s="122" t="s">
        <v>90</v>
      </c>
      <c r="AE78" s="53" t="s">
        <v>89</v>
      </c>
      <c r="AF78" s="53" t="s">
        <v>89</v>
      </c>
      <c r="AG78" s="122" t="s">
        <v>90</v>
      </c>
      <c r="AH78" s="122" t="s">
        <v>90</v>
      </c>
      <c r="AI78" s="150"/>
      <c r="AJ78" s="63">
        <f>AK78+AL78+AN78</f>
        <v>0</v>
      </c>
      <c r="AK78" s="80"/>
      <c r="AL78" s="122">
        <f>AS78+AU78+AX78+BA78+BB78</f>
        <v>0</v>
      </c>
      <c r="AM78" s="122"/>
      <c r="AN78" s="122"/>
      <c r="AO78" s="64"/>
      <c r="AP78" s="80"/>
      <c r="AQ78" s="80"/>
      <c r="AR78" s="80"/>
      <c r="AS78" s="80"/>
      <c r="AT78" s="122"/>
      <c r="AU78" s="122"/>
      <c r="AV78" s="122"/>
      <c r="AW78" s="122"/>
      <c r="AX78" s="184">
        <f>AY78</f>
        <v>0</v>
      </c>
      <c r="AY78" s="53">
        <f>AI78</f>
        <v>0</v>
      </c>
      <c r="AZ78" s="53"/>
      <c r="BA78" s="80"/>
      <c r="BB78" s="122">
        <f>AI78-AX78</f>
        <v>0</v>
      </c>
      <c r="BC78" s="122"/>
    </row>
    <row r="79" spans="1:55" ht="26.45" customHeight="1" x14ac:dyDescent="0.2">
      <c r="A79" s="148" t="s">
        <v>245</v>
      </c>
      <c r="B79" s="55"/>
      <c r="C79" s="186"/>
      <c r="D79" s="116"/>
      <c r="E79" s="58"/>
      <c r="F79" s="58"/>
      <c r="G79" s="219"/>
      <c r="H79" s="58"/>
      <c r="I79" s="58"/>
      <c r="J79" s="58"/>
      <c r="K79" s="219"/>
      <c r="L79" s="57"/>
      <c r="M79" s="57"/>
      <c r="N79" s="57"/>
      <c r="O79" s="57"/>
      <c r="P79" s="126"/>
      <c r="Q79" s="153"/>
      <c r="X79" s="35"/>
      <c r="Y79" s="61"/>
      <c r="Z79" s="84"/>
      <c r="AA79" s="85"/>
      <c r="AB79" s="85"/>
      <c r="AC79" s="63"/>
      <c r="AD79" s="122"/>
      <c r="AE79" s="53"/>
      <c r="AF79" s="53"/>
      <c r="AG79" s="122"/>
      <c r="AH79" s="122"/>
      <c r="AI79" s="150"/>
      <c r="AJ79" s="63"/>
      <c r="AK79" s="80"/>
      <c r="AL79" s="122"/>
      <c r="AM79" s="122"/>
      <c r="AN79" s="122"/>
      <c r="AO79" s="64"/>
      <c r="AP79" s="80"/>
      <c r="AQ79" s="80"/>
      <c r="AR79" s="80"/>
      <c r="AS79" s="80"/>
      <c r="AT79" s="122"/>
      <c r="AU79" s="122"/>
      <c r="AV79" s="122"/>
      <c r="AW79" s="122"/>
      <c r="AX79" s="184"/>
      <c r="AY79" s="53"/>
      <c r="AZ79" s="53"/>
      <c r="BA79" s="80"/>
      <c r="BB79" s="122"/>
      <c r="BC79" s="122"/>
    </row>
    <row r="80" spans="1:55" ht="35.450000000000003" customHeight="1" x14ac:dyDescent="0.2">
      <c r="A80" s="148" t="s">
        <v>246</v>
      </c>
      <c r="B80" s="55"/>
      <c r="C80" s="186"/>
      <c r="D80" s="116"/>
      <c r="E80" s="58">
        <v>2</v>
      </c>
      <c r="F80" s="58" t="s">
        <v>86</v>
      </c>
      <c r="G80" s="219">
        <v>1965.46</v>
      </c>
      <c r="H80" s="58" t="s">
        <v>86</v>
      </c>
      <c r="I80" s="58">
        <v>12</v>
      </c>
      <c r="J80" s="58" t="s">
        <v>87</v>
      </c>
      <c r="K80" s="58">
        <f>ROUND(E80*G80*I80,2)</f>
        <v>47171.040000000001</v>
      </c>
      <c r="L80" s="57"/>
      <c r="M80" s="57"/>
      <c r="N80" s="57"/>
      <c r="O80" s="57"/>
      <c r="P80" s="126">
        <f>K80</f>
        <v>47171.040000000001</v>
      </c>
      <c r="Q80" s="153"/>
      <c r="X80" s="35">
        <v>58</v>
      </c>
      <c r="Y80" s="61" t="s">
        <v>247</v>
      </c>
      <c r="Z80" s="84" t="s">
        <v>248</v>
      </c>
      <c r="AA80" s="85"/>
      <c r="AB80" s="85" t="s">
        <v>244</v>
      </c>
      <c r="AC80" s="63" t="s">
        <v>90</v>
      </c>
      <c r="AD80" s="122" t="s">
        <v>90</v>
      </c>
      <c r="AE80" s="53" t="s">
        <v>89</v>
      </c>
      <c r="AF80" s="53" t="s">
        <v>89</v>
      </c>
      <c r="AG80" s="122" t="s">
        <v>90</v>
      </c>
      <c r="AH80" s="122" t="s">
        <v>90</v>
      </c>
      <c r="AI80" s="150"/>
      <c r="AJ80" s="63">
        <f>AK80+AL80+AN80</f>
        <v>0</v>
      </c>
      <c r="AK80" s="80"/>
      <c r="AL80" s="122">
        <f>AS80+AU80+AX80+BA80+BB80</f>
        <v>0</v>
      </c>
      <c r="AM80" s="122"/>
      <c r="AN80" s="122"/>
      <c r="AO80" s="64"/>
      <c r="AP80" s="80"/>
      <c r="AQ80" s="80"/>
      <c r="AR80" s="80"/>
      <c r="AS80" s="80"/>
      <c r="AT80" s="122"/>
      <c r="AU80" s="122"/>
      <c r="AV80" s="122"/>
      <c r="AW80" s="122"/>
      <c r="AX80" s="184">
        <f>AY80</f>
        <v>0</v>
      </c>
      <c r="AY80" s="53">
        <f>AI80</f>
        <v>0</v>
      </c>
      <c r="AZ80" s="53"/>
      <c r="BA80" s="80"/>
      <c r="BB80" s="122">
        <f>AI80-AX80</f>
        <v>0</v>
      </c>
      <c r="BC80" s="122"/>
    </row>
    <row r="81" spans="1:55" ht="28.15" customHeight="1" x14ac:dyDescent="0.2">
      <c r="A81" s="132" t="s">
        <v>249</v>
      </c>
      <c r="B81" s="133"/>
      <c r="C81" s="185">
        <v>225032</v>
      </c>
      <c r="D81" s="134"/>
      <c r="E81" s="135"/>
      <c r="F81" s="135"/>
      <c r="G81" s="135"/>
      <c r="H81" s="135"/>
      <c r="I81" s="135"/>
      <c r="J81" s="135"/>
      <c r="K81" s="135"/>
      <c r="L81" s="135"/>
      <c r="M81" s="135"/>
      <c r="N81" s="135"/>
      <c r="O81" s="135"/>
      <c r="P81" s="136">
        <f>K81</f>
        <v>0</v>
      </c>
      <c r="Q81" s="153"/>
      <c r="X81" s="94">
        <v>59</v>
      </c>
      <c r="Y81" s="95" t="s">
        <v>250</v>
      </c>
      <c r="Z81" s="206"/>
      <c r="AA81" s="207"/>
      <c r="AB81" s="207"/>
      <c r="AC81" s="208" t="s">
        <v>90</v>
      </c>
      <c r="AD81" s="208" t="s">
        <v>90</v>
      </c>
      <c r="AE81" s="208" t="s">
        <v>90</v>
      </c>
      <c r="AF81" s="208" t="s">
        <v>90</v>
      </c>
      <c r="AG81" s="208" t="s">
        <v>90</v>
      </c>
      <c r="AH81" s="208" t="s">
        <v>90</v>
      </c>
      <c r="AI81" s="208">
        <f>SUM(AI82:AI99)</f>
        <v>671542.11</v>
      </c>
      <c r="AJ81" s="208">
        <f>SUM(AJ82:AJ99)</f>
        <v>671542.11</v>
      </c>
      <c r="AK81" s="80">
        <f t="shared" ref="AK81:BC81" si="27">SUM(AK82:AK99)</f>
        <v>0</v>
      </c>
      <c r="AL81" s="208">
        <f t="shared" si="27"/>
        <v>671542.11</v>
      </c>
      <c r="AM81" s="208"/>
      <c r="AN81" s="208">
        <f t="shared" si="27"/>
        <v>0</v>
      </c>
      <c r="AO81" s="64">
        <f t="shared" si="27"/>
        <v>0</v>
      </c>
      <c r="AP81" s="80">
        <f t="shared" si="27"/>
        <v>0</v>
      </c>
      <c r="AQ81" s="80"/>
      <c r="AR81" s="80"/>
      <c r="AS81" s="80">
        <f t="shared" si="27"/>
        <v>0</v>
      </c>
      <c r="AT81" s="209">
        <f t="shared" si="27"/>
        <v>0</v>
      </c>
      <c r="AU81" s="209">
        <f t="shared" si="27"/>
        <v>0</v>
      </c>
      <c r="AV81" s="209"/>
      <c r="AW81" s="209">
        <f t="shared" si="27"/>
        <v>0</v>
      </c>
      <c r="AX81" s="209">
        <f t="shared" si="27"/>
        <v>651542.11</v>
      </c>
      <c r="AY81" s="209">
        <f t="shared" si="27"/>
        <v>651542.11</v>
      </c>
      <c r="AZ81" s="209">
        <f t="shared" si="27"/>
        <v>0</v>
      </c>
      <c r="BA81" s="80">
        <f t="shared" si="27"/>
        <v>0</v>
      </c>
      <c r="BB81" s="209">
        <f t="shared" si="27"/>
        <v>20000</v>
      </c>
      <c r="BC81" s="208">
        <f t="shared" si="27"/>
        <v>0</v>
      </c>
    </row>
    <row r="82" spans="1:55" ht="23.45" customHeight="1" x14ac:dyDescent="0.2">
      <c r="A82" s="132" t="s">
        <v>251</v>
      </c>
      <c r="B82" s="133"/>
      <c r="C82" s="185">
        <v>225035</v>
      </c>
      <c r="D82" s="134"/>
      <c r="E82" s="135"/>
      <c r="F82" s="135"/>
      <c r="G82" s="135"/>
      <c r="H82" s="135"/>
      <c r="I82" s="135"/>
      <c r="J82" s="135"/>
      <c r="K82" s="135"/>
      <c r="L82" s="135"/>
      <c r="M82" s="135"/>
      <c r="N82" s="135"/>
      <c r="O82" s="135"/>
      <c r="P82" s="136">
        <f>P83+P84+P85+P86</f>
        <v>31548.48</v>
      </c>
      <c r="Q82" s="153"/>
      <c r="X82" s="35">
        <v>60</v>
      </c>
      <c r="Y82" s="221" t="s">
        <v>252</v>
      </c>
      <c r="Z82" s="84" t="s">
        <v>185</v>
      </c>
      <c r="AA82" s="85"/>
      <c r="AB82" s="85" t="s">
        <v>253</v>
      </c>
      <c r="AC82" s="63" t="s">
        <v>90</v>
      </c>
      <c r="AD82" s="122" t="s">
        <v>90</v>
      </c>
      <c r="AE82" s="53" t="s">
        <v>89</v>
      </c>
      <c r="AF82" s="53" t="s">
        <v>89</v>
      </c>
      <c r="AG82" s="122" t="s">
        <v>90</v>
      </c>
      <c r="AH82" s="122" t="s">
        <v>90</v>
      </c>
      <c r="AI82" s="150">
        <f>P61+P60</f>
        <v>108667.5</v>
      </c>
      <c r="AJ82" s="170">
        <f t="shared" ref="AJ82:AJ99" si="28">AK82+AL82+AN82</f>
        <v>108667.5</v>
      </c>
      <c r="AK82" s="145"/>
      <c r="AL82" s="122">
        <f t="shared" ref="AL82:AL99" si="29">AS82+AU82+AX82+BA82+BB82</f>
        <v>108667.5</v>
      </c>
      <c r="AM82" s="122"/>
      <c r="AN82" s="122"/>
      <c r="AO82" s="213"/>
      <c r="AP82" s="145"/>
      <c r="AQ82" s="145"/>
      <c r="AR82" s="145"/>
      <c r="AS82" s="145"/>
      <c r="AT82" s="150"/>
      <c r="AU82" s="122"/>
      <c r="AV82" s="122"/>
      <c r="AW82" s="122"/>
      <c r="AX82" s="184">
        <f t="shared" ref="AX82:AX116" si="30">AY82</f>
        <v>108667.5</v>
      </c>
      <c r="AY82" s="184">
        <f t="shared" ref="AY82:AY87" si="31">AI82</f>
        <v>108667.5</v>
      </c>
      <c r="AZ82" s="222"/>
      <c r="BA82" s="145"/>
      <c r="BB82" s="122">
        <f t="shared" ref="BB82:BB99" si="32">AI82-AX82</f>
        <v>0</v>
      </c>
      <c r="BC82" s="223"/>
    </row>
    <row r="83" spans="1:55" ht="20.25" customHeight="1" x14ac:dyDescent="0.2">
      <c r="A83" s="148" t="s">
        <v>241</v>
      </c>
      <c r="B83" s="55"/>
      <c r="C83" s="186"/>
      <c r="D83" s="116"/>
      <c r="E83" s="58"/>
      <c r="F83" s="58" t="s">
        <v>86</v>
      </c>
      <c r="G83" s="219"/>
      <c r="H83" s="58" t="s">
        <v>86</v>
      </c>
      <c r="I83" s="58"/>
      <c r="J83" s="58" t="s">
        <v>87</v>
      </c>
      <c r="K83" s="58">
        <f>ROUND(E83*G83*I83,2)</f>
        <v>0</v>
      </c>
      <c r="L83" s="57"/>
      <c r="M83" s="57"/>
      <c r="N83" s="57"/>
      <c r="O83" s="57"/>
      <c r="P83" s="140"/>
      <c r="Q83" s="153"/>
      <c r="X83" s="35">
        <v>61</v>
      </c>
      <c r="Y83" s="61" t="s">
        <v>210</v>
      </c>
      <c r="Z83" s="36" t="s">
        <v>211</v>
      </c>
      <c r="AA83" s="121"/>
      <c r="AB83" s="121" t="s">
        <v>253</v>
      </c>
      <c r="AC83" s="63" t="s">
        <v>90</v>
      </c>
      <c r="AD83" s="122" t="s">
        <v>90</v>
      </c>
      <c r="AE83" s="53" t="s">
        <v>89</v>
      </c>
      <c r="AF83" s="53" t="s">
        <v>89</v>
      </c>
      <c r="AG83" s="223" t="s">
        <v>90</v>
      </c>
      <c r="AH83" s="223" t="s">
        <v>90</v>
      </c>
      <c r="AI83" s="150">
        <f>P66</f>
        <v>140161.89000000001</v>
      </c>
      <c r="AJ83" s="170">
        <f t="shared" si="28"/>
        <v>140161.89000000001</v>
      </c>
      <c r="AK83" s="145"/>
      <c r="AL83" s="122">
        <f t="shared" si="29"/>
        <v>140161.89000000001</v>
      </c>
      <c r="AM83" s="122"/>
      <c r="AN83" s="122"/>
      <c r="AO83" s="213"/>
      <c r="AP83" s="145"/>
      <c r="AQ83" s="145"/>
      <c r="AR83" s="145"/>
      <c r="AS83" s="145"/>
      <c r="AT83" s="150"/>
      <c r="AU83" s="224"/>
      <c r="AV83" s="224"/>
      <c r="AW83" s="224"/>
      <c r="AX83" s="184">
        <f t="shared" si="30"/>
        <v>140161.89000000001</v>
      </c>
      <c r="AY83" s="184">
        <f t="shared" si="31"/>
        <v>140161.89000000001</v>
      </c>
      <c r="AZ83" s="222"/>
      <c r="BA83" s="145"/>
      <c r="BB83" s="122">
        <f t="shared" si="32"/>
        <v>0</v>
      </c>
      <c r="BC83" s="223"/>
    </row>
    <row r="84" spans="1:55" ht="21.6" customHeight="1" x14ac:dyDescent="0.2">
      <c r="A84" s="148" t="s">
        <v>251</v>
      </c>
      <c r="B84" s="55"/>
      <c r="C84" s="186"/>
      <c r="D84" s="116"/>
      <c r="E84" s="149">
        <v>2</v>
      </c>
      <c r="F84" s="58" t="s">
        <v>86</v>
      </c>
      <c r="G84" s="58">
        <v>1314.52</v>
      </c>
      <c r="H84" s="58" t="s">
        <v>86</v>
      </c>
      <c r="I84" s="58">
        <v>12</v>
      </c>
      <c r="J84" s="58" t="s">
        <v>87</v>
      </c>
      <c r="K84" s="58">
        <f>ROUND(E84*G84*I84,2)</f>
        <v>31548.48</v>
      </c>
      <c r="L84" s="57"/>
      <c r="M84" s="57"/>
      <c r="N84" s="57"/>
      <c r="O84" s="57"/>
      <c r="P84" s="126">
        <f>K84</f>
        <v>31548.48</v>
      </c>
      <c r="Q84" s="153"/>
      <c r="X84" s="35">
        <v>62</v>
      </c>
      <c r="Y84" s="61" t="s">
        <v>254</v>
      </c>
      <c r="Z84" s="84" t="s">
        <v>255</v>
      </c>
      <c r="AA84" s="85"/>
      <c r="AB84" s="85" t="s">
        <v>253</v>
      </c>
      <c r="AC84" s="63" t="s">
        <v>90</v>
      </c>
      <c r="AD84" s="122" t="s">
        <v>90</v>
      </c>
      <c r="AE84" s="53" t="s">
        <v>89</v>
      </c>
      <c r="AF84" s="53" t="s">
        <v>89</v>
      </c>
      <c r="AG84" s="223" t="s">
        <v>90</v>
      </c>
      <c r="AH84" s="223" t="s">
        <v>90</v>
      </c>
      <c r="AI84" s="150"/>
      <c r="AJ84" s="170">
        <f t="shared" si="28"/>
        <v>0</v>
      </c>
      <c r="AK84" s="145"/>
      <c r="AL84" s="122">
        <f t="shared" si="29"/>
        <v>0</v>
      </c>
      <c r="AM84" s="122"/>
      <c r="AN84" s="122"/>
      <c r="AO84" s="213"/>
      <c r="AP84" s="145"/>
      <c r="AQ84" s="145"/>
      <c r="AR84" s="145"/>
      <c r="AS84" s="145"/>
      <c r="AT84" s="150"/>
      <c r="AU84" s="224"/>
      <c r="AV84" s="224"/>
      <c r="AW84" s="224"/>
      <c r="AX84" s="184">
        <f t="shared" si="30"/>
        <v>0</v>
      </c>
      <c r="AY84" s="184">
        <f t="shared" si="31"/>
        <v>0</v>
      </c>
      <c r="AZ84" s="222"/>
      <c r="BA84" s="80"/>
      <c r="BB84" s="122">
        <f t="shared" si="32"/>
        <v>0</v>
      </c>
      <c r="BC84" s="223"/>
    </row>
    <row r="85" spans="1:55" ht="23.25" customHeight="1" x14ac:dyDescent="0.2">
      <c r="A85" s="148" t="s">
        <v>256</v>
      </c>
      <c r="B85" s="55"/>
      <c r="C85" s="186"/>
      <c r="D85" s="116"/>
      <c r="E85" s="58"/>
      <c r="F85" s="58" t="s">
        <v>86</v>
      </c>
      <c r="G85" s="58">
        <v>1314.52</v>
      </c>
      <c r="H85" s="58" t="s">
        <v>86</v>
      </c>
      <c r="I85" s="58">
        <v>12</v>
      </c>
      <c r="J85" s="58" t="s">
        <v>87</v>
      </c>
      <c r="K85" s="58">
        <f>ROUND(E85*G85*I85,2)</f>
        <v>0</v>
      </c>
      <c r="L85" s="57"/>
      <c r="M85" s="57"/>
      <c r="N85" s="57"/>
      <c r="O85" s="57"/>
      <c r="P85" s="127">
        <f>K85</f>
        <v>0</v>
      </c>
      <c r="Q85" s="153"/>
      <c r="X85" s="35">
        <v>63</v>
      </c>
      <c r="Y85" s="61" t="s">
        <v>216</v>
      </c>
      <c r="Z85" s="84" t="s">
        <v>217</v>
      </c>
      <c r="AA85" s="85"/>
      <c r="AB85" s="85" t="s">
        <v>253</v>
      </c>
      <c r="AC85" s="63" t="s">
        <v>90</v>
      </c>
      <c r="AD85" s="122" t="s">
        <v>90</v>
      </c>
      <c r="AE85" s="53" t="s">
        <v>89</v>
      </c>
      <c r="AF85" s="53" t="s">
        <v>89</v>
      </c>
      <c r="AG85" s="223" t="s">
        <v>90</v>
      </c>
      <c r="AH85" s="223" t="s">
        <v>90</v>
      </c>
      <c r="AI85" s="150"/>
      <c r="AJ85" s="170">
        <f t="shared" si="28"/>
        <v>0</v>
      </c>
      <c r="AK85" s="145"/>
      <c r="AL85" s="122">
        <f t="shared" si="29"/>
        <v>0</v>
      </c>
      <c r="AM85" s="122"/>
      <c r="AN85" s="122"/>
      <c r="AO85" s="213"/>
      <c r="AP85" s="145"/>
      <c r="AQ85" s="145"/>
      <c r="AR85" s="145"/>
      <c r="AS85" s="145"/>
      <c r="AT85" s="150"/>
      <c r="AU85" s="224"/>
      <c r="AV85" s="224"/>
      <c r="AW85" s="224"/>
      <c r="AX85" s="184">
        <f t="shared" si="30"/>
        <v>0</v>
      </c>
      <c r="AY85" s="184">
        <f t="shared" si="31"/>
        <v>0</v>
      </c>
      <c r="AZ85" s="222"/>
      <c r="BA85" s="80"/>
      <c r="BB85" s="122">
        <f t="shared" si="32"/>
        <v>0</v>
      </c>
      <c r="BC85" s="223"/>
    </row>
    <row r="86" spans="1:55" ht="25.9" customHeight="1" x14ac:dyDescent="0.2">
      <c r="A86" s="148" t="s">
        <v>246</v>
      </c>
      <c r="B86" s="55"/>
      <c r="C86" s="186"/>
      <c r="D86" s="116"/>
      <c r="E86" s="58"/>
      <c r="F86" s="58" t="s">
        <v>86</v>
      </c>
      <c r="G86" s="219"/>
      <c r="H86" s="58" t="s">
        <v>86</v>
      </c>
      <c r="I86" s="58"/>
      <c r="J86" s="58" t="s">
        <v>87</v>
      </c>
      <c r="K86" s="58">
        <f>ROUND(E86*G86*I86,2)</f>
        <v>0</v>
      </c>
      <c r="L86" s="57"/>
      <c r="M86" s="57"/>
      <c r="N86" s="57"/>
      <c r="O86" s="57"/>
      <c r="P86" s="140"/>
      <c r="Q86" s="153"/>
      <c r="X86" s="35">
        <v>64</v>
      </c>
      <c r="Y86" s="61" t="s">
        <v>220</v>
      </c>
      <c r="Z86" s="84" t="s">
        <v>221</v>
      </c>
      <c r="AA86" s="85"/>
      <c r="AB86" s="85" t="s">
        <v>253</v>
      </c>
      <c r="AC86" s="63" t="s">
        <v>90</v>
      </c>
      <c r="AD86" s="122" t="s">
        <v>90</v>
      </c>
      <c r="AE86" s="53" t="s">
        <v>89</v>
      </c>
      <c r="AF86" s="53" t="s">
        <v>89</v>
      </c>
      <c r="AG86" s="223" t="s">
        <v>90</v>
      </c>
      <c r="AH86" s="223" t="s">
        <v>90</v>
      </c>
      <c r="AI86" s="150">
        <f>P68</f>
        <v>183085.2</v>
      </c>
      <c r="AJ86" s="170">
        <f t="shared" si="28"/>
        <v>183085.2</v>
      </c>
      <c r="AK86" s="145"/>
      <c r="AL86" s="122">
        <f t="shared" si="29"/>
        <v>183085.2</v>
      </c>
      <c r="AM86" s="122"/>
      <c r="AN86" s="122"/>
      <c r="AO86" s="213"/>
      <c r="AP86" s="145"/>
      <c r="AQ86" s="145"/>
      <c r="AR86" s="145"/>
      <c r="AS86" s="145"/>
      <c r="AT86" s="150"/>
      <c r="AU86" s="224"/>
      <c r="AV86" s="224"/>
      <c r="AW86" s="224"/>
      <c r="AX86" s="184">
        <f t="shared" si="30"/>
        <v>183085.2</v>
      </c>
      <c r="AY86" s="184">
        <f t="shared" si="31"/>
        <v>183085.2</v>
      </c>
      <c r="AZ86" s="222"/>
      <c r="BA86" s="80"/>
      <c r="BB86" s="122">
        <f t="shared" si="32"/>
        <v>0</v>
      </c>
      <c r="BC86" s="223"/>
    </row>
    <row r="87" spans="1:55" ht="31.9" hidden="1" customHeight="1" x14ac:dyDescent="0.2">
      <c r="A87" s="132" t="s">
        <v>257</v>
      </c>
      <c r="B87" s="133"/>
      <c r="C87" s="185">
        <v>225036</v>
      </c>
      <c r="D87" s="134"/>
      <c r="E87" s="135"/>
      <c r="F87" s="135"/>
      <c r="G87" s="135"/>
      <c r="H87" s="135"/>
      <c r="I87" s="135"/>
      <c r="J87" s="135"/>
      <c r="K87" s="135"/>
      <c r="L87" s="135"/>
      <c r="M87" s="135"/>
      <c r="N87" s="135"/>
      <c r="O87" s="135"/>
      <c r="P87" s="136">
        <f>P88+P90+P91+P92+P89</f>
        <v>0</v>
      </c>
      <c r="Q87" s="153"/>
      <c r="X87" s="35">
        <v>65</v>
      </c>
      <c r="Y87" s="61" t="s">
        <v>258</v>
      </c>
      <c r="Z87" s="84" t="s">
        <v>259</v>
      </c>
      <c r="AA87" s="85"/>
      <c r="AB87" s="85" t="s">
        <v>253</v>
      </c>
      <c r="AC87" s="63" t="s">
        <v>90</v>
      </c>
      <c r="AD87" s="122" t="s">
        <v>90</v>
      </c>
      <c r="AE87" s="53" t="s">
        <v>89</v>
      </c>
      <c r="AF87" s="53" t="s">
        <v>89</v>
      </c>
      <c r="AG87" s="225" t="s">
        <v>90</v>
      </c>
      <c r="AH87" s="122" t="s">
        <v>90</v>
      </c>
      <c r="AI87" s="150">
        <f>P69</f>
        <v>11940</v>
      </c>
      <c r="AJ87" s="170">
        <f t="shared" si="28"/>
        <v>11940</v>
      </c>
      <c r="AK87" s="145"/>
      <c r="AL87" s="122">
        <f t="shared" si="29"/>
        <v>11940</v>
      </c>
      <c r="AM87" s="122"/>
      <c r="AN87" s="122"/>
      <c r="AO87" s="213"/>
      <c r="AP87" s="145"/>
      <c r="AQ87" s="145"/>
      <c r="AR87" s="145"/>
      <c r="AS87" s="145"/>
      <c r="AT87" s="150"/>
      <c r="AU87" s="122"/>
      <c r="AV87" s="122"/>
      <c r="AW87" s="122"/>
      <c r="AX87" s="184">
        <f t="shared" si="30"/>
        <v>11940</v>
      </c>
      <c r="AY87" s="184">
        <f t="shared" si="31"/>
        <v>11940</v>
      </c>
      <c r="AZ87" s="184"/>
      <c r="BA87" s="80"/>
      <c r="BB87" s="122">
        <f t="shared" si="32"/>
        <v>0</v>
      </c>
      <c r="BC87" s="122"/>
    </row>
    <row r="88" spans="1:55" ht="28.5" hidden="1" x14ac:dyDescent="0.2">
      <c r="A88" s="148" t="s">
        <v>260</v>
      </c>
      <c r="B88" s="226"/>
      <c r="C88" s="186"/>
      <c r="D88" s="116"/>
      <c r="E88" s="123"/>
      <c r="F88" s="123" t="s">
        <v>86</v>
      </c>
      <c r="G88" s="123"/>
      <c r="H88" s="124" t="s">
        <v>87</v>
      </c>
      <c r="I88" s="124">
        <f>ROUND(E88*G88,0)</f>
        <v>0</v>
      </c>
      <c r="J88" s="57"/>
      <c r="K88" s="57"/>
      <c r="L88" s="57"/>
      <c r="M88" s="57"/>
      <c r="N88" s="57"/>
      <c r="O88" s="57"/>
      <c r="P88" s="140"/>
      <c r="Q88" s="153"/>
      <c r="X88" s="35">
        <v>66</v>
      </c>
      <c r="Y88" s="61" t="s">
        <v>225</v>
      </c>
      <c r="Z88" s="84" t="s">
        <v>261</v>
      </c>
      <c r="AA88" s="85"/>
      <c r="AB88" s="85" t="s">
        <v>253</v>
      </c>
      <c r="AC88" s="63" t="s">
        <v>90</v>
      </c>
      <c r="AD88" s="122" t="s">
        <v>90</v>
      </c>
      <c r="AE88" s="53" t="s">
        <v>89</v>
      </c>
      <c r="AF88" s="53" t="s">
        <v>89</v>
      </c>
      <c r="AG88" s="122" t="s">
        <v>90</v>
      </c>
      <c r="AH88" s="122" t="s">
        <v>90</v>
      </c>
      <c r="AI88" s="150"/>
      <c r="AJ88" s="170">
        <f t="shared" si="28"/>
        <v>0</v>
      </c>
      <c r="AK88" s="80"/>
      <c r="AL88" s="122">
        <f t="shared" si="29"/>
        <v>0</v>
      </c>
      <c r="AM88" s="122"/>
      <c r="AN88" s="122"/>
      <c r="AO88" s="64"/>
      <c r="AP88" s="80"/>
      <c r="AQ88" s="80"/>
      <c r="AR88" s="80"/>
      <c r="AS88" s="80"/>
      <c r="AT88" s="150"/>
      <c r="AU88" s="122"/>
      <c r="AV88" s="122"/>
      <c r="AW88" s="122"/>
      <c r="AX88" s="184">
        <f t="shared" si="30"/>
        <v>0</v>
      </c>
      <c r="AY88" s="80"/>
      <c r="AZ88" s="53">
        <f>AI88</f>
        <v>0</v>
      </c>
      <c r="BA88" s="80"/>
      <c r="BB88" s="122">
        <f t="shared" si="32"/>
        <v>0</v>
      </c>
      <c r="BC88" s="122"/>
    </row>
    <row r="89" spans="1:55" ht="44.45" hidden="1" customHeight="1" x14ac:dyDescent="0.2">
      <c r="A89" s="148" t="s">
        <v>262</v>
      </c>
      <c r="B89" s="226"/>
      <c r="C89" s="186"/>
      <c r="D89" s="116"/>
      <c r="E89" s="123"/>
      <c r="F89" s="123"/>
      <c r="G89" s="123"/>
      <c r="H89" s="124"/>
      <c r="I89" s="124"/>
      <c r="J89" s="57"/>
      <c r="K89" s="57"/>
      <c r="L89" s="57"/>
      <c r="M89" s="57"/>
      <c r="N89" s="57"/>
      <c r="O89" s="57"/>
      <c r="P89" s="140"/>
      <c r="Q89" s="153"/>
      <c r="X89" s="35">
        <v>67</v>
      </c>
      <c r="Y89" s="61" t="s">
        <v>228</v>
      </c>
      <c r="Z89" s="84" t="s">
        <v>263</v>
      </c>
      <c r="AA89" s="85"/>
      <c r="AB89" s="85" t="s">
        <v>253</v>
      </c>
      <c r="AC89" s="63" t="s">
        <v>90</v>
      </c>
      <c r="AD89" s="122" t="s">
        <v>90</v>
      </c>
      <c r="AE89" s="53" t="s">
        <v>89</v>
      </c>
      <c r="AF89" s="53" t="s">
        <v>89</v>
      </c>
      <c r="AG89" s="122" t="s">
        <v>90</v>
      </c>
      <c r="AH89" s="122" t="s">
        <v>90</v>
      </c>
      <c r="AI89" s="150"/>
      <c r="AJ89" s="63">
        <f t="shared" si="28"/>
        <v>0</v>
      </c>
      <c r="AK89" s="80"/>
      <c r="AL89" s="122">
        <f t="shared" si="29"/>
        <v>0</v>
      </c>
      <c r="AM89" s="122"/>
      <c r="AN89" s="122"/>
      <c r="AO89" s="64"/>
      <c r="AP89" s="80"/>
      <c r="AQ89" s="80"/>
      <c r="AR89" s="80"/>
      <c r="AS89" s="80"/>
      <c r="AT89" s="150"/>
      <c r="AU89" s="122"/>
      <c r="AV89" s="122"/>
      <c r="AW89" s="122"/>
      <c r="AX89" s="184">
        <f t="shared" si="30"/>
        <v>0</v>
      </c>
      <c r="AY89" s="80"/>
      <c r="AZ89" s="53">
        <f>AI89</f>
        <v>0</v>
      </c>
      <c r="BA89" s="80"/>
      <c r="BB89" s="122">
        <f t="shared" si="32"/>
        <v>0</v>
      </c>
      <c r="BC89" s="122"/>
    </row>
    <row r="90" spans="1:55" ht="30.75" hidden="1" customHeight="1" x14ac:dyDescent="0.2">
      <c r="A90" s="148" t="s">
        <v>264</v>
      </c>
      <c r="B90" s="55"/>
      <c r="C90" s="227"/>
      <c r="D90" s="116"/>
      <c r="E90" s="57"/>
      <c r="F90" s="57"/>
      <c r="G90" s="57"/>
      <c r="H90" s="57"/>
      <c r="I90" s="57"/>
      <c r="J90" s="57"/>
      <c r="K90" s="57"/>
      <c r="L90" s="57"/>
      <c r="M90" s="57"/>
      <c r="N90" s="57"/>
      <c r="O90" s="57"/>
      <c r="P90" s="140"/>
      <c r="Q90" s="153"/>
      <c r="X90" s="35">
        <v>68</v>
      </c>
      <c r="Y90" s="61" t="s">
        <v>231</v>
      </c>
      <c r="Z90" s="84" t="s">
        <v>265</v>
      </c>
      <c r="AA90" s="85"/>
      <c r="AB90" s="85" t="s">
        <v>253</v>
      </c>
      <c r="AC90" s="63" t="s">
        <v>90</v>
      </c>
      <c r="AD90" s="122" t="s">
        <v>90</v>
      </c>
      <c r="AE90" s="53" t="s">
        <v>89</v>
      </c>
      <c r="AF90" s="53" t="s">
        <v>89</v>
      </c>
      <c r="AG90" s="122" t="s">
        <v>90</v>
      </c>
      <c r="AH90" s="122" t="s">
        <v>90</v>
      </c>
      <c r="AI90" s="150"/>
      <c r="AJ90" s="63">
        <f t="shared" si="28"/>
        <v>0</v>
      </c>
      <c r="AK90" s="80"/>
      <c r="AL90" s="122">
        <f t="shared" si="29"/>
        <v>0</v>
      </c>
      <c r="AM90" s="122"/>
      <c r="AN90" s="122"/>
      <c r="AO90" s="64"/>
      <c r="AP90" s="80"/>
      <c r="AQ90" s="80"/>
      <c r="AR90" s="80"/>
      <c r="AS90" s="80"/>
      <c r="AT90" s="150"/>
      <c r="AU90" s="122"/>
      <c r="AV90" s="122"/>
      <c r="AW90" s="122"/>
      <c r="AX90" s="184">
        <f t="shared" si="30"/>
        <v>0</v>
      </c>
      <c r="AY90" s="80"/>
      <c r="AZ90" s="53">
        <f>AI90</f>
        <v>0</v>
      </c>
      <c r="BA90" s="80"/>
      <c r="BB90" s="122">
        <f t="shared" si="32"/>
        <v>0</v>
      </c>
      <c r="BC90" s="122"/>
    </row>
    <row r="91" spans="1:55" ht="29.45" hidden="1" customHeight="1" x14ac:dyDescent="0.2">
      <c r="A91" s="148" t="s">
        <v>266</v>
      </c>
      <c r="B91" s="55"/>
      <c r="C91" s="227"/>
      <c r="D91" s="116"/>
      <c r="E91" s="58"/>
      <c r="F91" s="58"/>
      <c r="G91" s="58"/>
      <c r="H91" s="58"/>
      <c r="I91" s="59"/>
      <c r="J91" s="58"/>
      <c r="K91" s="58"/>
      <c r="L91" s="57"/>
      <c r="M91" s="57"/>
      <c r="N91" s="57"/>
      <c r="O91" s="57"/>
      <c r="P91" s="140"/>
      <c r="Q91" s="153"/>
      <c r="X91" s="35">
        <v>69</v>
      </c>
      <c r="Y91" s="61" t="s">
        <v>267</v>
      </c>
      <c r="Z91" s="84" t="s">
        <v>268</v>
      </c>
      <c r="AA91" s="85"/>
      <c r="AB91" s="85" t="s">
        <v>253</v>
      </c>
      <c r="AC91" s="63" t="s">
        <v>90</v>
      </c>
      <c r="AD91" s="122" t="s">
        <v>90</v>
      </c>
      <c r="AE91" s="53" t="s">
        <v>89</v>
      </c>
      <c r="AF91" s="53" t="s">
        <v>89</v>
      </c>
      <c r="AG91" s="122" t="s">
        <v>90</v>
      </c>
      <c r="AH91" s="122" t="s">
        <v>90</v>
      </c>
      <c r="AI91" s="150"/>
      <c r="AJ91" s="63">
        <f t="shared" si="28"/>
        <v>0</v>
      </c>
      <c r="AK91" s="80"/>
      <c r="AL91" s="122">
        <f t="shared" si="29"/>
        <v>0</v>
      </c>
      <c r="AM91" s="122"/>
      <c r="AN91" s="122"/>
      <c r="AO91" s="64"/>
      <c r="AP91" s="80"/>
      <c r="AQ91" s="80"/>
      <c r="AR91" s="80"/>
      <c r="AS91" s="80"/>
      <c r="AT91" s="150"/>
      <c r="AU91" s="122"/>
      <c r="AV91" s="122"/>
      <c r="AW91" s="122"/>
      <c r="AX91" s="184">
        <f t="shared" si="30"/>
        <v>0</v>
      </c>
      <c r="AY91" s="80"/>
      <c r="AZ91" s="53">
        <f>AI91</f>
        <v>0</v>
      </c>
      <c r="BA91" s="80"/>
      <c r="BB91" s="122">
        <f t="shared" si="32"/>
        <v>0</v>
      </c>
      <c r="BC91" s="122"/>
    </row>
    <row r="92" spans="1:55" ht="44.45" hidden="1" customHeight="1" x14ac:dyDescent="0.2">
      <c r="A92" s="148" t="s">
        <v>269</v>
      </c>
      <c r="B92" s="55"/>
      <c r="C92" s="227"/>
      <c r="D92" s="116"/>
      <c r="E92" s="57"/>
      <c r="F92" s="57"/>
      <c r="G92" s="57"/>
      <c r="H92" s="57"/>
      <c r="I92" s="57"/>
      <c r="J92" s="57"/>
      <c r="K92" s="57"/>
      <c r="L92" s="57"/>
      <c r="M92" s="57"/>
      <c r="N92" s="57"/>
      <c r="O92" s="57"/>
      <c r="P92" s="140"/>
      <c r="Q92" s="153"/>
      <c r="X92" s="35">
        <v>70</v>
      </c>
      <c r="Y92" s="103" t="s">
        <v>270</v>
      </c>
      <c r="Z92" s="84" t="s">
        <v>271</v>
      </c>
      <c r="AA92" s="85"/>
      <c r="AB92" s="85" t="s">
        <v>253</v>
      </c>
      <c r="AC92" s="63" t="s">
        <v>90</v>
      </c>
      <c r="AD92" s="122" t="s">
        <v>90</v>
      </c>
      <c r="AE92" s="53" t="s">
        <v>89</v>
      </c>
      <c r="AF92" s="53" t="s">
        <v>89</v>
      </c>
      <c r="AG92" s="122" t="s">
        <v>90</v>
      </c>
      <c r="AH92" s="122" t="s">
        <v>90</v>
      </c>
      <c r="AI92" s="150">
        <f>P73</f>
        <v>196139.04</v>
      </c>
      <c r="AJ92" s="170">
        <f t="shared" si="28"/>
        <v>196139.04</v>
      </c>
      <c r="AK92" s="145"/>
      <c r="AL92" s="122">
        <f t="shared" si="29"/>
        <v>196139.04</v>
      </c>
      <c r="AM92" s="122"/>
      <c r="AN92" s="122"/>
      <c r="AO92" s="213"/>
      <c r="AP92" s="145"/>
      <c r="AQ92" s="145"/>
      <c r="AR92" s="145"/>
      <c r="AS92" s="145"/>
      <c r="AT92" s="150"/>
      <c r="AU92" s="122"/>
      <c r="AV92" s="122"/>
      <c r="AW92" s="122"/>
      <c r="AX92" s="184">
        <f t="shared" si="30"/>
        <v>176139.04</v>
      </c>
      <c r="AY92" s="184">
        <f>AI92-20000</f>
        <v>176139.04</v>
      </c>
      <c r="AZ92" s="184"/>
      <c r="BA92" s="145"/>
      <c r="BB92" s="122">
        <f t="shared" si="32"/>
        <v>20000</v>
      </c>
      <c r="BC92" s="122"/>
    </row>
    <row r="93" spans="1:55" ht="27.6" customHeight="1" x14ac:dyDescent="0.2">
      <c r="A93" s="132" t="s">
        <v>272</v>
      </c>
      <c r="B93" s="228"/>
      <c r="C93" s="229">
        <v>225040</v>
      </c>
      <c r="D93" s="134"/>
      <c r="E93" s="135"/>
      <c r="F93" s="135"/>
      <c r="G93" s="135"/>
      <c r="H93" s="135"/>
      <c r="I93" s="135"/>
      <c r="J93" s="135"/>
      <c r="K93" s="135"/>
      <c r="L93" s="135"/>
      <c r="M93" s="135"/>
      <c r="N93" s="135"/>
      <c r="O93" s="135"/>
      <c r="P93" s="136">
        <f>K93</f>
        <v>0</v>
      </c>
      <c r="Q93" s="153"/>
      <c r="X93" s="35">
        <v>71</v>
      </c>
      <c r="Y93" s="61" t="s">
        <v>249</v>
      </c>
      <c r="Z93" s="84" t="s">
        <v>273</v>
      </c>
      <c r="AA93" s="85"/>
      <c r="AB93" s="85" t="s">
        <v>253</v>
      </c>
      <c r="AC93" s="63" t="s">
        <v>90</v>
      </c>
      <c r="AD93" s="122" t="s">
        <v>90</v>
      </c>
      <c r="AE93" s="53" t="s">
        <v>89</v>
      </c>
      <c r="AF93" s="53" t="s">
        <v>89</v>
      </c>
      <c r="AG93" s="122" t="s">
        <v>90</v>
      </c>
      <c r="AH93" s="122" t="s">
        <v>90</v>
      </c>
      <c r="AI93" s="150"/>
      <c r="AJ93" s="63">
        <f t="shared" si="28"/>
        <v>0</v>
      </c>
      <c r="AK93" s="80"/>
      <c r="AL93" s="122">
        <f t="shared" si="29"/>
        <v>0</v>
      </c>
      <c r="AM93" s="122"/>
      <c r="AN93" s="122"/>
      <c r="AO93" s="64"/>
      <c r="AP93" s="80"/>
      <c r="AQ93" s="80"/>
      <c r="AR93" s="80"/>
      <c r="AS93" s="80"/>
      <c r="AT93" s="150"/>
      <c r="AU93" s="122"/>
      <c r="AV93" s="122"/>
      <c r="AW93" s="122"/>
      <c r="AX93" s="184">
        <f t="shared" si="30"/>
        <v>0</v>
      </c>
      <c r="AY93" s="53">
        <f t="shared" ref="AY93:AY99" si="33">AI93</f>
        <v>0</v>
      </c>
      <c r="AZ93" s="80"/>
      <c r="BA93" s="80"/>
      <c r="BB93" s="122">
        <f t="shared" si="32"/>
        <v>0</v>
      </c>
      <c r="BC93" s="122"/>
    </row>
    <row r="94" spans="1:55" ht="25.15" customHeight="1" x14ac:dyDescent="0.2">
      <c r="A94" s="132" t="s">
        <v>274</v>
      </c>
      <c r="B94" s="228"/>
      <c r="C94" s="229">
        <v>225098</v>
      </c>
      <c r="D94" s="134"/>
      <c r="E94" s="135"/>
      <c r="F94" s="135"/>
      <c r="G94" s="135"/>
      <c r="H94" s="135"/>
      <c r="I94" s="135"/>
      <c r="J94" s="135"/>
      <c r="K94" s="135"/>
      <c r="L94" s="135"/>
      <c r="M94" s="135"/>
      <c r="N94" s="135"/>
      <c r="O94" s="135"/>
      <c r="P94" s="136">
        <f>SUM(P95:P97)</f>
        <v>0</v>
      </c>
      <c r="Q94" s="153"/>
      <c r="X94" s="35">
        <v>72</v>
      </c>
      <c r="Y94" s="61" t="s">
        <v>251</v>
      </c>
      <c r="Z94" s="84" t="s">
        <v>275</v>
      </c>
      <c r="AA94" s="85"/>
      <c r="AB94" s="85" t="s">
        <v>253</v>
      </c>
      <c r="AC94" s="63" t="s">
        <v>90</v>
      </c>
      <c r="AD94" s="122" t="s">
        <v>90</v>
      </c>
      <c r="AE94" s="53" t="s">
        <v>89</v>
      </c>
      <c r="AF94" s="53" t="s">
        <v>89</v>
      </c>
      <c r="AG94" s="122" t="s">
        <v>90</v>
      </c>
      <c r="AH94" s="122" t="s">
        <v>90</v>
      </c>
      <c r="AI94" s="150">
        <f>P82</f>
        <v>31548.48</v>
      </c>
      <c r="AJ94" s="170">
        <f t="shared" si="28"/>
        <v>31548.48</v>
      </c>
      <c r="AK94" s="145"/>
      <c r="AL94" s="122">
        <f t="shared" si="29"/>
        <v>31548.48</v>
      </c>
      <c r="AM94" s="122"/>
      <c r="AN94" s="122"/>
      <c r="AO94" s="213"/>
      <c r="AP94" s="145"/>
      <c r="AQ94" s="145"/>
      <c r="AR94" s="145"/>
      <c r="AS94" s="145"/>
      <c r="AT94" s="150"/>
      <c r="AU94" s="122"/>
      <c r="AV94" s="122"/>
      <c r="AW94" s="122"/>
      <c r="AX94" s="184">
        <f t="shared" si="30"/>
        <v>31548.48</v>
      </c>
      <c r="AY94" s="184">
        <f>AI94</f>
        <v>31548.48</v>
      </c>
      <c r="AZ94" s="145"/>
      <c r="BA94" s="145"/>
      <c r="BB94" s="122">
        <f t="shared" si="32"/>
        <v>0</v>
      </c>
      <c r="BC94" s="122"/>
    </row>
    <row r="95" spans="1:55" ht="37.15" customHeight="1" x14ac:dyDescent="0.2">
      <c r="A95" s="148" t="s">
        <v>276</v>
      </c>
      <c r="B95" s="193"/>
      <c r="C95" s="227"/>
      <c r="D95" s="116"/>
      <c r="E95" s="58"/>
      <c r="F95" s="58" t="s">
        <v>86</v>
      </c>
      <c r="G95" s="230"/>
      <c r="H95" s="58" t="s">
        <v>86</v>
      </c>
      <c r="I95" s="58"/>
      <c r="J95" s="58" t="s">
        <v>87</v>
      </c>
      <c r="K95" s="58">
        <f>ROUND(E95*G95*I95,2)</f>
        <v>0</v>
      </c>
      <c r="L95" s="57"/>
      <c r="M95" s="57"/>
      <c r="N95" s="57"/>
      <c r="O95" s="57"/>
      <c r="P95" s="60">
        <f>K95</f>
        <v>0</v>
      </c>
      <c r="Q95" s="153"/>
      <c r="X95" s="35">
        <v>73</v>
      </c>
      <c r="Y95" s="61" t="s">
        <v>277</v>
      </c>
      <c r="Z95" s="84" t="s">
        <v>278</v>
      </c>
      <c r="AA95" s="85"/>
      <c r="AB95" s="85" t="s">
        <v>253</v>
      </c>
      <c r="AC95" s="63" t="s">
        <v>90</v>
      </c>
      <c r="AD95" s="122" t="s">
        <v>90</v>
      </c>
      <c r="AE95" s="53" t="s">
        <v>89</v>
      </c>
      <c r="AF95" s="53" t="s">
        <v>89</v>
      </c>
      <c r="AG95" s="122" t="s">
        <v>90</v>
      </c>
      <c r="AH95" s="122" t="s">
        <v>90</v>
      </c>
      <c r="AI95" s="150"/>
      <c r="AJ95" s="170">
        <f t="shared" si="28"/>
        <v>0</v>
      </c>
      <c r="AK95" s="145"/>
      <c r="AL95" s="122">
        <f t="shared" si="29"/>
        <v>0</v>
      </c>
      <c r="AM95" s="122"/>
      <c r="AN95" s="122"/>
      <c r="AO95" s="213"/>
      <c r="AP95" s="145"/>
      <c r="AQ95" s="145"/>
      <c r="AR95" s="145"/>
      <c r="AS95" s="145"/>
      <c r="AT95" s="150"/>
      <c r="AU95" s="122"/>
      <c r="AV95" s="122"/>
      <c r="AW95" s="122"/>
      <c r="AX95" s="184">
        <f t="shared" si="30"/>
        <v>0</v>
      </c>
      <c r="AY95" s="53">
        <f t="shared" si="33"/>
        <v>0</v>
      </c>
      <c r="AZ95" s="145"/>
      <c r="BA95" s="145"/>
      <c r="BB95" s="122">
        <f t="shared" si="32"/>
        <v>0</v>
      </c>
      <c r="BC95" s="122"/>
    </row>
    <row r="96" spans="1:55" s="240" customFormat="1" ht="37.15" customHeight="1" x14ac:dyDescent="0.2">
      <c r="A96" s="231" t="s">
        <v>279</v>
      </c>
      <c r="B96" s="232"/>
      <c r="C96" s="233"/>
      <c r="D96" s="234"/>
      <c r="E96" s="235"/>
      <c r="F96" s="235"/>
      <c r="G96" s="236"/>
      <c r="H96" s="237"/>
      <c r="I96" s="237"/>
      <c r="J96" s="235"/>
      <c r="K96" s="235"/>
      <c r="L96" s="238"/>
      <c r="M96" s="238"/>
      <c r="N96" s="238"/>
      <c r="O96" s="238"/>
      <c r="P96" s="127"/>
      <c r="Q96" s="239"/>
      <c r="X96" s="241"/>
      <c r="Y96" s="242"/>
      <c r="Z96" s="243"/>
      <c r="AA96" s="244"/>
      <c r="AB96" s="244"/>
      <c r="AC96" s="245"/>
      <c r="AD96" s="246"/>
      <c r="AE96" s="247"/>
      <c r="AF96" s="247"/>
      <c r="AG96" s="246"/>
      <c r="AH96" s="246"/>
      <c r="AI96" s="248"/>
      <c r="AJ96" s="249"/>
      <c r="AK96" s="248"/>
      <c r="AL96" s="246"/>
      <c r="AM96" s="246"/>
      <c r="AN96" s="246"/>
      <c r="AO96" s="250"/>
      <c r="AP96" s="248"/>
      <c r="AQ96" s="248"/>
      <c r="AR96" s="248"/>
      <c r="AS96" s="248"/>
      <c r="AT96" s="248"/>
      <c r="AU96" s="246"/>
      <c r="AV96" s="246"/>
      <c r="AW96" s="246"/>
      <c r="AX96" s="250"/>
      <c r="AY96" s="247"/>
      <c r="AZ96" s="248"/>
      <c r="BA96" s="248"/>
      <c r="BB96" s="246"/>
      <c r="BC96" s="246"/>
    </row>
    <row r="97" spans="1:55" ht="42.6" customHeight="1" x14ac:dyDescent="0.2">
      <c r="A97" s="251" t="s">
        <v>280</v>
      </c>
      <c r="B97" s="193"/>
      <c r="C97" s="227"/>
      <c r="D97" s="116"/>
      <c r="E97" s="58"/>
      <c r="F97" s="58" t="s">
        <v>86</v>
      </c>
      <c r="G97" s="58"/>
      <c r="H97" s="59" t="s">
        <v>87</v>
      </c>
      <c r="I97" s="59">
        <f>ROUND(E97*G97,0)</f>
        <v>0</v>
      </c>
      <c r="J97" s="252"/>
      <c r="K97" s="252"/>
      <c r="L97" s="57"/>
      <c r="M97" s="57"/>
      <c r="N97" s="57"/>
      <c r="O97" s="57"/>
      <c r="P97" s="60"/>
      <c r="Q97" s="153"/>
      <c r="X97" s="35">
        <v>74</v>
      </c>
      <c r="Y97" s="103" t="s">
        <v>281</v>
      </c>
      <c r="Z97" s="84"/>
      <c r="AA97" s="85"/>
      <c r="AB97" s="85" t="s">
        <v>253</v>
      </c>
      <c r="AC97" s="63" t="s">
        <v>90</v>
      </c>
      <c r="AD97" s="122" t="s">
        <v>90</v>
      </c>
      <c r="AE97" s="53" t="s">
        <v>89</v>
      </c>
      <c r="AF97" s="53" t="s">
        <v>89</v>
      </c>
      <c r="AG97" s="122" t="s">
        <v>90</v>
      </c>
      <c r="AH97" s="122" t="s">
        <v>90</v>
      </c>
      <c r="AI97" s="150"/>
      <c r="AJ97" s="63">
        <f t="shared" si="28"/>
        <v>0</v>
      </c>
      <c r="AK97" s="80"/>
      <c r="AL97" s="122">
        <f t="shared" si="29"/>
        <v>0</v>
      </c>
      <c r="AM97" s="122"/>
      <c r="AN97" s="122"/>
      <c r="AO97" s="64"/>
      <c r="AP97" s="80"/>
      <c r="AQ97" s="80"/>
      <c r="AR97" s="80"/>
      <c r="AS97" s="80"/>
      <c r="AT97" s="150"/>
      <c r="AU97" s="122"/>
      <c r="AV97" s="122"/>
      <c r="AW97" s="122"/>
      <c r="AX97" s="184">
        <f t="shared" si="30"/>
        <v>0</v>
      </c>
      <c r="AY97" s="53">
        <f t="shared" si="33"/>
        <v>0</v>
      </c>
      <c r="AZ97" s="80"/>
      <c r="BA97" s="80"/>
      <c r="BB97" s="122">
        <f t="shared" si="32"/>
        <v>0</v>
      </c>
      <c r="BC97" s="122"/>
    </row>
    <row r="98" spans="1:55" ht="27.6" customHeight="1" x14ac:dyDescent="0.2">
      <c r="A98" s="253" t="s">
        <v>282</v>
      </c>
      <c r="B98" s="67">
        <v>226</v>
      </c>
      <c r="C98" s="254"/>
      <c r="D98" s="255"/>
      <c r="E98" s="51"/>
      <c r="F98" s="51"/>
      <c r="G98" s="51"/>
      <c r="H98" s="51"/>
      <c r="I98" s="51"/>
      <c r="J98" s="51"/>
      <c r="K98" s="51"/>
      <c r="L98" s="51"/>
      <c r="M98" s="51"/>
      <c r="N98" s="51"/>
      <c r="O98" s="51"/>
      <c r="P98" s="52">
        <f>P99+P103+P119+P111+P113+P114+P115+P116+P117+P118+P112</f>
        <v>132597</v>
      </c>
      <c r="Q98" s="153"/>
      <c r="X98" s="35">
        <v>75</v>
      </c>
      <c r="Y98" s="61" t="s">
        <v>274</v>
      </c>
      <c r="Z98" s="84" t="s">
        <v>283</v>
      </c>
      <c r="AA98" s="85"/>
      <c r="AB98" s="85" t="s">
        <v>253</v>
      </c>
      <c r="AC98" s="63" t="s">
        <v>90</v>
      </c>
      <c r="AD98" s="122" t="s">
        <v>90</v>
      </c>
      <c r="AE98" s="53" t="s">
        <v>89</v>
      </c>
      <c r="AF98" s="53" t="s">
        <v>89</v>
      </c>
      <c r="AG98" s="122" t="s">
        <v>90</v>
      </c>
      <c r="AH98" s="122" t="s">
        <v>90</v>
      </c>
      <c r="AI98" s="150">
        <f>P94</f>
        <v>0</v>
      </c>
      <c r="AJ98" s="63">
        <f t="shared" si="28"/>
        <v>0</v>
      </c>
      <c r="AK98" s="80"/>
      <c r="AL98" s="122">
        <f t="shared" si="29"/>
        <v>0</v>
      </c>
      <c r="AM98" s="122"/>
      <c r="AN98" s="122"/>
      <c r="AO98" s="64"/>
      <c r="AP98" s="80"/>
      <c r="AQ98" s="80"/>
      <c r="AR98" s="80"/>
      <c r="AS98" s="80"/>
      <c r="AT98" s="150"/>
      <c r="AU98" s="122"/>
      <c r="AV98" s="122"/>
      <c r="AW98" s="122"/>
      <c r="AX98" s="184">
        <f t="shared" si="30"/>
        <v>0</v>
      </c>
      <c r="AY98" s="53">
        <f t="shared" si="33"/>
        <v>0</v>
      </c>
      <c r="AZ98" s="122"/>
      <c r="BA98" s="80"/>
      <c r="BB98" s="122">
        <f t="shared" si="32"/>
        <v>0</v>
      </c>
      <c r="BC98" s="122"/>
    </row>
    <row r="99" spans="1:55" ht="18.600000000000001" customHeight="1" x14ac:dyDescent="0.2">
      <c r="A99" s="256" t="s">
        <v>284</v>
      </c>
      <c r="B99" s="257"/>
      <c r="C99" s="194" t="s">
        <v>285</v>
      </c>
      <c r="D99" s="195"/>
      <c r="E99" s="196">
        <f>C5</f>
        <v>1801</v>
      </c>
      <c r="F99" s="196" t="s">
        <v>86</v>
      </c>
      <c r="G99" s="196">
        <v>20.25907438693493</v>
      </c>
      <c r="H99" s="196" t="s">
        <v>86</v>
      </c>
      <c r="I99" s="196">
        <v>1</v>
      </c>
      <c r="J99" s="196" t="s">
        <v>87</v>
      </c>
      <c r="K99" s="196">
        <f>ROUND(E99*G99*I99,0)</f>
        <v>36487</v>
      </c>
      <c r="L99" s="196"/>
      <c r="M99" s="196"/>
      <c r="N99" s="196"/>
      <c r="O99" s="196"/>
      <c r="P99" s="258">
        <f>K99</f>
        <v>36487</v>
      </c>
      <c r="Q99" s="153"/>
      <c r="X99" s="35">
        <v>76</v>
      </c>
      <c r="Y99" s="61" t="s">
        <v>191</v>
      </c>
      <c r="Z99" s="84" t="s">
        <v>192</v>
      </c>
      <c r="AA99" s="85"/>
      <c r="AB99" s="85" t="s">
        <v>253</v>
      </c>
      <c r="AC99" s="63" t="s">
        <v>90</v>
      </c>
      <c r="AD99" s="122" t="s">
        <v>90</v>
      </c>
      <c r="AE99" s="53" t="s">
        <v>89</v>
      </c>
      <c r="AF99" s="53" t="s">
        <v>89</v>
      </c>
      <c r="AG99" s="122" t="s">
        <v>90</v>
      </c>
      <c r="AH99" s="122" t="s">
        <v>90</v>
      </c>
      <c r="AI99" s="150"/>
      <c r="AJ99" s="63">
        <f t="shared" si="28"/>
        <v>0</v>
      </c>
      <c r="AK99" s="80"/>
      <c r="AL99" s="122">
        <f t="shared" si="29"/>
        <v>0</v>
      </c>
      <c r="AM99" s="122"/>
      <c r="AN99" s="122"/>
      <c r="AO99" s="64"/>
      <c r="AP99" s="80"/>
      <c r="AQ99" s="80"/>
      <c r="AR99" s="80"/>
      <c r="AS99" s="80"/>
      <c r="AT99" s="150"/>
      <c r="AU99" s="122"/>
      <c r="AV99" s="122"/>
      <c r="AW99" s="122"/>
      <c r="AX99" s="184">
        <f t="shared" si="30"/>
        <v>0</v>
      </c>
      <c r="AY99" s="53">
        <f t="shared" si="33"/>
        <v>0</v>
      </c>
      <c r="AZ99" s="80"/>
      <c r="BA99" s="80"/>
      <c r="BB99" s="122">
        <f t="shared" si="32"/>
        <v>0</v>
      </c>
      <c r="BC99" s="122"/>
    </row>
    <row r="100" spans="1:55" ht="24" customHeight="1" x14ac:dyDescent="0.2">
      <c r="A100" s="256" t="s">
        <v>216</v>
      </c>
      <c r="B100" s="259"/>
      <c r="C100" s="194" t="s">
        <v>286</v>
      </c>
      <c r="D100" s="195"/>
      <c r="E100" s="196"/>
      <c r="F100" s="196"/>
      <c r="G100" s="196"/>
      <c r="H100" s="196"/>
      <c r="I100" s="196"/>
      <c r="J100" s="196"/>
      <c r="K100" s="196"/>
      <c r="L100" s="196"/>
      <c r="M100" s="196"/>
      <c r="N100" s="196"/>
      <c r="O100" s="196"/>
      <c r="P100" s="127"/>
      <c r="Q100" s="153"/>
      <c r="X100" s="94">
        <v>77</v>
      </c>
      <c r="Y100" s="95" t="s">
        <v>119</v>
      </c>
      <c r="Z100" s="206"/>
      <c r="AA100" s="207"/>
      <c r="AB100" s="207"/>
      <c r="AC100" s="208" t="s">
        <v>90</v>
      </c>
      <c r="AD100" s="208" t="s">
        <v>90</v>
      </c>
      <c r="AE100" s="208" t="s">
        <v>90</v>
      </c>
      <c r="AF100" s="208" t="s">
        <v>90</v>
      </c>
      <c r="AG100" s="208" t="s">
        <v>90</v>
      </c>
      <c r="AH100" s="208" t="s">
        <v>90</v>
      </c>
      <c r="AI100" s="208" t="e">
        <f>SUM(AI101:AI116)</f>
        <v>#REF!</v>
      </c>
      <c r="AJ100" s="208" t="e">
        <f>SUM(AJ101:AJ116)</f>
        <v>#REF!</v>
      </c>
      <c r="AK100" s="80">
        <f t="shared" ref="AK100:BC100" si="34">SUM(AK101:AK116)</f>
        <v>0</v>
      </c>
      <c r="AL100" s="208" t="e">
        <f t="shared" si="34"/>
        <v>#REF!</v>
      </c>
      <c r="AM100" s="208" t="e">
        <f t="shared" si="34"/>
        <v>#REF!</v>
      </c>
      <c r="AN100" s="208">
        <f t="shared" si="34"/>
        <v>0</v>
      </c>
      <c r="AO100" s="64">
        <f t="shared" si="34"/>
        <v>0</v>
      </c>
      <c r="AP100" s="80">
        <f t="shared" si="34"/>
        <v>0</v>
      </c>
      <c r="AQ100" s="80"/>
      <c r="AR100" s="80"/>
      <c r="AS100" s="80">
        <f t="shared" si="34"/>
        <v>0</v>
      </c>
      <c r="AT100" s="209">
        <f t="shared" si="34"/>
        <v>0</v>
      </c>
      <c r="AU100" s="209" t="e">
        <f t="shared" si="34"/>
        <v>#REF!</v>
      </c>
      <c r="AV100" s="209" t="e">
        <f t="shared" si="34"/>
        <v>#REF!</v>
      </c>
      <c r="AW100" s="209">
        <f t="shared" si="34"/>
        <v>0</v>
      </c>
      <c r="AX100" s="209">
        <f t="shared" si="34"/>
        <v>121907</v>
      </c>
      <c r="AY100" s="209">
        <f t="shared" si="34"/>
        <v>121907</v>
      </c>
      <c r="AZ100" s="209">
        <f t="shared" si="34"/>
        <v>0</v>
      </c>
      <c r="BA100" s="80">
        <f t="shared" si="34"/>
        <v>0</v>
      </c>
      <c r="BB100" s="209">
        <f t="shared" si="34"/>
        <v>8000</v>
      </c>
      <c r="BC100" s="208">
        <f t="shared" si="34"/>
        <v>0</v>
      </c>
    </row>
    <row r="101" spans="1:55" ht="22.15" customHeight="1" x14ac:dyDescent="0.2">
      <c r="A101" s="115" t="s">
        <v>287</v>
      </c>
      <c r="B101" s="193"/>
      <c r="C101" s="186" t="s">
        <v>288</v>
      </c>
      <c r="D101" s="116"/>
      <c r="E101" s="57"/>
      <c r="F101" s="57"/>
      <c r="G101" s="57"/>
      <c r="H101" s="57"/>
      <c r="I101" s="57"/>
      <c r="J101" s="57"/>
      <c r="K101" s="57"/>
      <c r="L101" s="57"/>
      <c r="M101" s="57"/>
      <c r="N101" s="57"/>
      <c r="O101" s="57"/>
      <c r="P101" s="127"/>
      <c r="Q101" s="153"/>
      <c r="X101" s="35">
        <v>78</v>
      </c>
      <c r="Y101" s="61" t="s">
        <v>284</v>
      </c>
      <c r="Z101" s="84" t="s">
        <v>285</v>
      </c>
      <c r="AA101" s="85"/>
      <c r="AB101" s="85" t="s">
        <v>124</v>
      </c>
      <c r="AC101" s="63" t="s">
        <v>90</v>
      </c>
      <c r="AD101" s="122" t="s">
        <v>90</v>
      </c>
      <c r="AE101" s="53" t="s">
        <v>89</v>
      </c>
      <c r="AF101" s="53" t="s">
        <v>89</v>
      </c>
      <c r="AG101" s="122" t="s">
        <v>90</v>
      </c>
      <c r="AH101" s="122" t="s">
        <v>90</v>
      </c>
      <c r="AI101" s="150">
        <f>P99</f>
        <v>36487</v>
      </c>
      <c r="AJ101" s="63">
        <f>AK101+AL101+AN101</f>
        <v>36487</v>
      </c>
      <c r="AK101" s="80"/>
      <c r="AL101" s="122">
        <f>AS101+AU101+AX101+BA101+BB101</f>
        <v>36487</v>
      </c>
      <c r="AM101" s="122"/>
      <c r="AN101" s="122"/>
      <c r="AO101" s="64"/>
      <c r="AP101" s="80"/>
      <c r="AQ101" s="80"/>
      <c r="AR101" s="80"/>
      <c r="AS101" s="80"/>
      <c r="AT101" s="122"/>
      <c r="AU101" s="122"/>
      <c r="AV101" s="122"/>
      <c r="AW101" s="122"/>
      <c r="AX101" s="184">
        <f t="shared" si="30"/>
        <v>31487</v>
      </c>
      <c r="AY101" s="53">
        <f>AI101-5000</f>
        <v>31487</v>
      </c>
      <c r="AZ101" s="137"/>
      <c r="BA101" s="80"/>
      <c r="BB101" s="122">
        <f t="shared" ref="BB101:BB116" si="35">AI101-AX101</f>
        <v>5000</v>
      </c>
      <c r="BC101" s="122"/>
    </row>
    <row r="102" spans="1:55" ht="28.15" customHeight="1" x14ac:dyDescent="0.2">
      <c r="A102" s="260" t="s">
        <v>289</v>
      </c>
      <c r="B102" s="193"/>
      <c r="C102" s="186" t="s">
        <v>290</v>
      </c>
      <c r="D102" s="116"/>
      <c r="E102" s="57"/>
      <c r="F102" s="57"/>
      <c r="G102" s="57"/>
      <c r="H102" s="57"/>
      <c r="I102" s="57"/>
      <c r="J102" s="57"/>
      <c r="K102" s="57"/>
      <c r="L102" s="57"/>
      <c r="M102" s="57"/>
      <c r="N102" s="57"/>
      <c r="O102" s="57"/>
      <c r="P102" s="127"/>
      <c r="Q102" s="153"/>
      <c r="X102" s="35">
        <v>79</v>
      </c>
      <c r="Y102" s="61" t="s">
        <v>291</v>
      </c>
      <c r="Z102" s="84" t="s">
        <v>286</v>
      </c>
      <c r="AA102" s="85"/>
      <c r="AB102" s="85" t="s">
        <v>124</v>
      </c>
      <c r="AC102" s="63" t="s">
        <v>90</v>
      </c>
      <c r="AD102" s="122" t="s">
        <v>90</v>
      </c>
      <c r="AE102" s="53" t="s">
        <v>89</v>
      </c>
      <c r="AF102" s="53" t="s">
        <v>89</v>
      </c>
      <c r="AG102" s="122" t="s">
        <v>90</v>
      </c>
      <c r="AH102" s="122" t="s">
        <v>90</v>
      </c>
      <c r="AI102" s="150"/>
      <c r="AJ102" s="63">
        <f>AK102+AL102+AN102</f>
        <v>0</v>
      </c>
      <c r="AK102" s="80"/>
      <c r="AL102" s="122">
        <f>AS102+AU102+AX102+BA102+BB102</f>
        <v>0</v>
      </c>
      <c r="AM102" s="122"/>
      <c r="AN102" s="122"/>
      <c r="AO102" s="64"/>
      <c r="AP102" s="80"/>
      <c r="AQ102" s="80"/>
      <c r="AR102" s="80"/>
      <c r="AS102" s="80"/>
      <c r="AT102" s="122"/>
      <c r="AU102" s="122"/>
      <c r="AV102" s="122"/>
      <c r="AW102" s="122"/>
      <c r="AX102" s="184">
        <f t="shared" si="30"/>
        <v>0</v>
      </c>
      <c r="AY102" s="53">
        <f t="shared" ref="AY102:AY116" si="36">AI102</f>
        <v>0</v>
      </c>
      <c r="AZ102" s="137"/>
      <c r="BA102" s="80"/>
      <c r="BB102" s="122">
        <f t="shared" si="35"/>
        <v>0</v>
      </c>
      <c r="BC102" s="122"/>
    </row>
    <row r="103" spans="1:55" ht="88.15" customHeight="1" x14ac:dyDescent="0.2">
      <c r="A103" s="261" t="s">
        <v>292</v>
      </c>
      <c r="B103" s="228"/>
      <c r="C103" s="185">
        <v>226052</v>
      </c>
      <c r="D103" s="134"/>
      <c r="E103" s="135"/>
      <c r="F103" s="135"/>
      <c r="G103" s="135"/>
      <c r="H103" s="135"/>
      <c r="I103" s="135"/>
      <c r="J103" s="135"/>
      <c r="K103" s="135"/>
      <c r="L103" s="135"/>
      <c r="M103" s="135"/>
      <c r="N103" s="135"/>
      <c r="O103" s="135"/>
      <c r="P103" s="215">
        <f>P104+P105+P106+P107+P108+P109+P110</f>
        <v>23000</v>
      </c>
      <c r="Q103" s="153"/>
      <c r="X103" s="35">
        <v>80</v>
      </c>
      <c r="Y103" s="262" t="s">
        <v>293</v>
      </c>
      <c r="Z103" s="263" t="s">
        <v>288</v>
      </c>
      <c r="AA103" s="264"/>
      <c r="AB103" s="262" t="s">
        <v>124</v>
      </c>
      <c r="AC103" s="265" t="s">
        <v>90</v>
      </c>
      <c r="AD103" s="266" t="s">
        <v>90</v>
      </c>
      <c r="AE103" s="267" t="s">
        <v>89</v>
      </c>
      <c r="AF103" s="267" t="s">
        <v>89</v>
      </c>
      <c r="AG103" s="266" t="s">
        <v>90</v>
      </c>
      <c r="AH103" s="266" t="s">
        <v>90</v>
      </c>
      <c r="AI103" s="268" t="e">
        <f>AU103+AV103</f>
        <v>#REF!</v>
      </c>
      <c r="AJ103" s="63" t="e">
        <f>AL103+AM103</f>
        <v>#REF!</v>
      </c>
      <c r="AK103" s="80"/>
      <c r="AL103" s="269" t="e">
        <f>AU103</f>
        <v>#REF!</v>
      </c>
      <c r="AM103" s="269" t="e">
        <f>AV103</f>
        <v>#REF!</v>
      </c>
      <c r="AN103" s="122"/>
      <c r="AO103" s="64"/>
      <c r="AP103" s="80"/>
      <c r="AQ103" s="80"/>
      <c r="AR103" s="80"/>
      <c r="AS103" s="80"/>
      <c r="AT103" s="122"/>
      <c r="AU103" s="269" t="e">
        <f>#REF!</f>
        <v>#REF!</v>
      </c>
      <c r="AV103" s="269" t="e">
        <f>#REF!</f>
        <v>#REF!</v>
      </c>
      <c r="AW103" s="269"/>
      <c r="AX103" s="53">
        <f t="shared" si="30"/>
        <v>0</v>
      </c>
      <c r="AY103" s="53"/>
      <c r="AZ103" s="137"/>
      <c r="BA103" s="80"/>
      <c r="BB103" s="122"/>
      <c r="BC103" s="122"/>
    </row>
    <row r="104" spans="1:55" ht="17.45" customHeight="1" x14ac:dyDescent="0.2">
      <c r="A104" s="216" t="s">
        <v>294</v>
      </c>
      <c r="B104" s="55"/>
      <c r="C104" s="186"/>
      <c r="D104" s="116"/>
      <c r="E104" s="270"/>
      <c r="F104" s="58" t="s">
        <v>86</v>
      </c>
      <c r="G104" s="181">
        <v>4000</v>
      </c>
      <c r="H104" s="58" t="s">
        <v>86</v>
      </c>
      <c r="I104" s="58">
        <v>1</v>
      </c>
      <c r="J104" s="58" t="s">
        <v>87</v>
      </c>
      <c r="K104" s="58">
        <f t="shared" ref="K104:K110" si="37">ROUND(E104*G104*I104,0)</f>
        <v>0</v>
      </c>
      <c r="L104" s="57"/>
      <c r="M104" s="57"/>
      <c r="N104" s="57"/>
      <c r="O104" s="57"/>
      <c r="P104" s="220">
        <f t="shared" ref="P104:P110" si="38">K104</f>
        <v>0</v>
      </c>
      <c r="Q104" s="153"/>
      <c r="X104" s="35">
        <v>81</v>
      </c>
      <c r="Y104" s="103" t="s">
        <v>122</v>
      </c>
      <c r="Z104" s="36" t="s">
        <v>123</v>
      </c>
      <c r="AA104" s="121"/>
      <c r="AB104" s="121" t="s">
        <v>124</v>
      </c>
      <c r="AC104" s="63" t="s">
        <v>90</v>
      </c>
      <c r="AD104" s="122" t="s">
        <v>90</v>
      </c>
      <c r="AE104" s="53" t="s">
        <v>89</v>
      </c>
      <c r="AF104" s="53" t="s">
        <v>89</v>
      </c>
      <c r="AG104" s="122" t="s">
        <v>90</v>
      </c>
      <c r="AH104" s="122" t="s">
        <v>90</v>
      </c>
      <c r="AI104" s="137">
        <f>P103</f>
        <v>23000</v>
      </c>
      <c r="AJ104" s="63">
        <f t="shared" ref="AJ104:AJ116" si="39">AK104+AL104+AN104</f>
        <v>23000</v>
      </c>
      <c r="AK104" s="80"/>
      <c r="AL104" s="269">
        <f t="shared" ref="AL104:AL116" si="40">AS104+AU104+AX104+BA104+BB104</f>
        <v>23000</v>
      </c>
      <c r="AM104" s="269"/>
      <c r="AN104" s="122"/>
      <c r="AO104" s="64"/>
      <c r="AP104" s="80"/>
      <c r="AQ104" s="80"/>
      <c r="AR104" s="80"/>
      <c r="AS104" s="80"/>
      <c r="AT104" s="122"/>
      <c r="AU104" s="122"/>
      <c r="AV104" s="122"/>
      <c r="AW104" s="122"/>
      <c r="AX104" s="184">
        <f t="shared" si="30"/>
        <v>23000</v>
      </c>
      <c r="AY104" s="184">
        <f>AI104</f>
        <v>23000</v>
      </c>
      <c r="AZ104" s="150"/>
      <c r="BA104" s="145"/>
      <c r="BB104" s="122">
        <f t="shared" si="35"/>
        <v>0</v>
      </c>
      <c r="BC104" s="122"/>
    </row>
    <row r="105" spans="1:55" ht="17.45" customHeight="1" x14ac:dyDescent="0.2">
      <c r="A105" s="216" t="s">
        <v>295</v>
      </c>
      <c r="B105" s="55"/>
      <c r="C105" s="186"/>
      <c r="D105" s="116"/>
      <c r="E105" s="270">
        <v>1</v>
      </c>
      <c r="F105" s="58" t="s">
        <v>86</v>
      </c>
      <c r="G105" s="181">
        <v>4000</v>
      </c>
      <c r="H105" s="58" t="s">
        <v>86</v>
      </c>
      <c r="I105" s="58">
        <v>1</v>
      </c>
      <c r="J105" s="58" t="s">
        <v>87</v>
      </c>
      <c r="K105" s="58">
        <f t="shared" si="37"/>
        <v>4000</v>
      </c>
      <c r="L105" s="57"/>
      <c r="M105" s="57"/>
      <c r="N105" s="57"/>
      <c r="O105" s="57"/>
      <c r="P105" s="220">
        <f t="shared" si="38"/>
        <v>4000</v>
      </c>
      <c r="Q105" s="153"/>
      <c r="X105" s="35">
        <v>82</v>
      </c>
      <c r="Y105" s="61" t="s">
        <v>296</v>
      </c>
      <c r="Z105" s="84" t="s">
        <v>297</v>
      </c>
      <c r="AA105" s="85"/>
      <c r="AB105" s="85" t="s">
        <v>124</v>
      </c>
      <c r="AC105" s="63" t="s">
        <v>90</v>
      </c>
      <c r="AD105" s="122" t="s">
        <v>90</v>
      </c>
      <c r="AE105" s="53" t="s">
        <v>89</v>
      </c>
      <c r="AF105" s="53" t="s">
        <v>89</v>
      </c>
      <c r="AG105" s="122" t="s">
        <v>90</v>
      </c>
      <c r="AH105" s="122" t="s">
        <v>90</v>
      </c>
      <c r="AI105" s="137"/>
      <c r="AJ105" s="63">
        <f t="shared" si="39"/>
        <v>0</v>
      </c>
      <c r="AK105" s="80"/>
      <c r="AL105" s="269">
        <f t="shared" si="40"/>
        <v>0</v>
      </c>
      <c r="AM105" s="269"/>
      <c r="AN105" s="122"/>
      <c r="AO105" s="64"/>
      <c r="AP105" s="80"/>
      <c r="AQ105" s="80"/>
      <c r="AR105" s="80"/>
      <c r="AS105" s="80"/>
      <c r="AT105" s="122"/>
      <c r="AU105" s="122"/>
      <c r="AV105" s="122"/>
      <c r="AW105" s="122"/>
      <c r="AX105" s="184">
        <f t="shared" si="30"/>
        <v>0</v>
      </c>
      <c r="AY105" s="53">
        <f t="shared" si="36"/>
        <v>0</v>
      </c>
      <c r="AZ105" s="137"/>
      <c r="BA105" s="80"/>
      <c r="BB105" s="269">
        <f t="shared" si="35"/>
        <v>0</v>
      </c>
      <c r="BC105" s="122"/>
    </row>
    <row r="106" spans="1:55" ht="17.45" customHeight="1" x14ac:dyDescent="0.2">
      <c r="A106" s="216" t="s">
        <v>298</v>
      </c>
      <c r="B106" s="55"/>
      <c r="C106" s="186"/>
      <c r="D106" s="116"/>
      <c r="E106" s="270">
        <v>2</v>
      </c>
      <c r="F106" s="58" t="s">
        <v>86</v>
      </c>
      <c r="G106" s="181">
        <v>1500</v>
      </c>
      <c r="H106" s="58" t="s">
        <v>86</v>
      </c>
      <c r="I106" s="58">
        <v>1</v>
      </c>
      <c r="J106" s="58" t="s">
        <v>87</v>
      </c>
      <c r="K106" s="58">
        <f t="shared" si="37"/>
        <v>3000</v>
      </c>
      <c r="L106" s="57"/>
      <c r="M106" s="57"/>
      <c r="N106" s="57"/>
      <c r="O106" s="57"/>
      <c r="P106" s="220">
        <f t="shared" si="38"/>
        <v>3000</v>
      </c>
      <c r="Q106" s="153"/>
      <c r="X106" s="35">
        <v>83</v>
      </c>
      <c r="Y106" s="61" t="s">
        <v>299</v>
      </c>
      <c r="Z106" s="84" t="s">
        <v>300</v>
      </c>
      <c r="AA106" s="85"/>
      <c r="AB106" s="85" t="s">
        <v>124</v>
      </c>
      <c r="AC106" s="63" t="s">
        <v>90</v>
      </c>
      <c r="AD106" s="122" t="s">
        <v>90</v>
      </c>
      <c r="AE106" s="53" t="s">
        <v>89</v>
      </c>
      <c r="AF106" s="53" t="s">
        <v>89</v>
      </c>
      <c r="AG106" s="122" t="s">
        <v>90</v>
      </c>
      <c r="AH106" s="122" t="s">
        <v>90</v>
      </c>
      <c r="AI106" s="150"/>
      <c r="AJ106" s="63">
        <f t="shared" si="39"/>
        <v>0</v>
      </c>
      <c r="AK106" s="80"/>
      <c r="AL106" s="122">
        <f t="shared" si="40"/>
        <v>0</v>
      </c>
      <c r="AM106" s="122"/>
      <c r="AN106" s="122"/>
      <c r="AO106" s="64"/>
      <c r="AP106" s="80"/>
      <c r="AQ106" s="80"/>
      <c r="AR106" s="80"/>
      <c r="AS106" s="80"/>
      <c r="AT106" s="122"/>
      <c r="AU106" s="122"/>
      <c r="AV106" s="122"/>
      <c r="AW106" s="122"/>
      <c r="AX106" s="184">
        <f t="shared" si="30"/>
        <v>0</v>
      </c>
      <c r="AY106" s="53">
        <f t="shared" si="36"/>
        <v>0</v>
      </c>
      <c r="AZ106" s="137"/>
      <c r="BA106" s="80"/>
      <c r="BB106" s="122">
        <f t="shared" si="35"/>
        <v>0</v>
      </c>
      <c r="BC106" s="122"/>
    </row>
    <row r="107" spans="1:55" ht="16.5" customHeight="1" x14ac:dyDescent="0.2">
      <c r="A107" s="216" t="s">
        <v>301</v>
      </c>
      <c r="B107" s="55"/>
      <c r="C107" s="186"/>
      <c r="D107" s="116"/>
      <c r="E107" s="270">
        <v>2</v>
      </c>
      <c r="F107" s="58" t="s">
        <v>86</v>
      </c>
      <c r="G107" s="181">
        <v>3000</v>
      </c>
      <c r="H107" s="58" t="s">
        <v>86</v>
      </c>
      <c r="I107" s="58">
        <v>1</v>
      </c>
      <c r="J107" s="58" t="s">
        <v>87</v>
      </c>
      <c r="K107" s="58">
        <f t="shared" si="37"/>
        <v>6000</v>
      </c>
      <c r="L107" s="57"/>
      <c r="M107" s="57"/>
      <c r="N107" s="57"/>
      <c r="O107" s="57"/>
      <c r="P107" s="220">
        <f t="shared" si="38"/>
        <v>6000</v>
      </c>
      <c r="Q107" s="153"/>
      <c r="X107" s="35">
        <v>84</v>
      </c>
      <c r="Y107" s="61" t="s">
        <v>302</v>
      </c>
      <c r="Z107" s="84" t="s">
        <v>303</v>
      </c>
      <c r="AA107" s="85"/>
      <c r="AB107" s="85" t="s">
        <v>124</v>
      </c>
      <c r="AC107" s="63" t="s">
        <v>90</v>
      </c>
      <c r="AD107" s="122" t="s">
        <v>90</v>
      </c>
      <c r="AE107" s="53" t="s">
        <v>89</v>
      </c>
      <c r="AF107" s="53" t="s">
        <v>89</v>
      </c>
      <c r="AG107" s="122" t="s">
        <v>90</v>
      </c>
      <c r="AH107" s="122" t="s">
        <v>90</v>
      </c>
      <c r="AI107" s="150"/>
      <c r="AJ107" s="63">
        <f t="shared" si="39"/>
        <v>0</v>
      </c>
      <c r="AK107" s="80"/>
      <c r="AL107" s="122">
        <f t="shared" si="40"/>
        <v>0</v>
      </c>
      <c r="AM107" s="122"/>
      <c r="AN107" s="122"/>
      <c r="AO107" s="64"/>
      <c r="AP107" s="80"/>
      <c r="AQ107" s="80"/>
      <c r="AR107" s="80"/>
      <c r="AS107" s="80"/>
      <c r="AT107" s="122"/>
      <c r="AU107" s="122"/>
      <c r="AV107" s="122"/>
      <c r="AW107" s="122"/>
      <c r="AX107" s="184">
        <f t="shared" si="30"/>
        <v>0</v>
      </c>
      <c r="AY107" s="53">
        <f t="shared" si="36"/>
        <v>0</v>
      </c>
      <c r="AZ107" s="137"/>
      <c r="BA107" s="80"/>
      <c r="BB107" s="122">
        <f t="shared" si="35"/>
        <v>0</v>
      </c>
      <c r="BC107" s="122"/>
    </row>
    <row r="108" spans="1:55" ht="18" customHeight="1" x14ac:dyDescent="0.2">
      <c r="A108" s="216" t="s">
        <v>304</v>
      </c>
      <c r="B108" s="55"/>
      <c r="C108" s="186"/>
      <c r="D108" s="116"/>
      <c r="E108" s="270">
        <v>3</v>
      </c>
      <c r="F108" s="58" t="s">
        <v>86</v>
      </c>
      <c r="G108" s="181">
        <v>1500</v>
      </c>
      <c r="H108" s="58" t="s">
        <v>86</v>
      </c>
      <c r="I108" s="58">
        <v>1</v>
      </c>
      <c r="J108" s="58" t="s">
        <v>87</v>
      </c>
      <c r="K108" s="58">
        <f t="shared" si="37"/>
        <v>4500</v>
      </c>
      <c r="L108" s="57"/>
      <c r="M108" s="57"/>
      <c r="N108" s="57"/>
      <c r="O108" s="57"/>
      <c r="P108" s="220">
        <f t="shared" si="38"/>
        <v>4500</v>
      </c>
      <c r="Q108" s="153"/>
      <c r="X108" s="35">
        <v>85</v>
      </c>
      <c r="Y108" s="61" t="s">
        <v>305</v>
      </c>
      <c r="Z108" s="36" t="s">
        <v>306</v>
      </c>
      <c r="AA108" s="121"/>
      <c r="AB108" s="121" t="s">
        <v>124</v>
      </c>
      <c r="AC108" s="63" t="s">
        <v>90</v>
      </c>
      <c r="AD108" s="122" t="s">
        <v>90</v>
      </c>
      <c r="AE108" s="53" t="s">
        <v>89</v>
      </c>
      <c r="AF108" s="53" t="s">
        <v>89</v>
      </c>
      <c r="AG108" s="122" t="s">
        <v>90</v>
      </c>
      <c r="AH108" s="122" t="s">
        <v>90</v>
      </c>
      <c r="AI108" s="150"/>
      <c r="AJ108" s="63">
        <f t="shared" si="39"/>
        <v>0</v>
      </c>
      <c r="AK108" s="80"/>
      <c r="AL108" s="122">
        <f t="shared" si="40"/>
        <v>0</v>
      </c>
      <c r="AM108" s="122"/>
      <c r="AN108" s="122"/>
      <c r="AO108" s="64"/>
      <c r="AP108" s="80"/>
      <c r="AQ108" s="80"/>
      <c r="AR108" s="80"/>
      <c r="AS108" s="80"/>
      <c r="AT108" s="122"/>
      <c r="AU108" s="122"/>
      <c r="AV108" s="122"/>
      <c r="AW108" s="122"/>
      <c r="AX108" s="184">
        <f t="shared" si="30"/>
        <v>0</v>
      </c>
      <c r="AY108" s="53">
        <f t="shared" si="36"/>
        <v>0</v>
      </c>
      <c r="AZ108" s="137"/>
      <c r="BA108" s="80"/>
      <c r="BB108" s="122">
        <f t="shared" si="35"/>
        <v>0</v>
      </c>
      <c r="BC108" s="122"/>
    </row>
    <row r="109" spans="1:55" ht="30" customHeight="1" x14ac:dyDescent="0.2">
      <c r="A109" s="216" t="s">
        <v>307</v>
      </c>
      <c r="B109" s="55"/>
      <c r="C109" s="186"/>
      <c r="D109" s="116"/>
      <c r="E109" s="270">
        <v>1</v>
      </c>
      <c r="F109" s="58" t="s">
        <v>86</v>
      </c>
      <c r="G109" s="181">
        <v>5500</v>
      </c>
      <c r="H109" s="58" t="s">
        <v>86</v>
      </c>
      <c r="I109" s="58">
        <v>1</v>
      </c>
      <c r="J109" s="58" t="s">
        <v>87</v>
      </c>
      <c r="K109" s="58">
        <f t="shared" si="37"/>
        <v>5500</v>
      </c>
      <c r="L109" s="57"/>
      <c r="M109" s="57"/>
      <c r="N109" s="57"/>
      <c r="O109" s="57"/>
      <c r="P109" s="220">
        <f t="shared" si="38"/>
        <v>5500</v>
      </c>
      <c r="Q109" s="153"/>
      <c r="X109" s="35">
        <v>86</v>
      </c>
      <c r="Y109" s="61" t="s">
        <v>308</v>
      </c>
      <c r="Z109" s="84" t="s">
        <v>309</v>
      </c>
      <c r="AA109" s="85"/>
      <c r="AB109" s="85" t="s">
        <v>124</v>
      </c>
      <c r="AC109" s="63" t="s">
        <v>90</v>
      </c>
      <c r="AD109" s="122" t="s">
        <v>90</v>
      </c>
      <c r="AE109" s="53" t="s">
        <v>89</v>
      </c>
      <c r="AF109" s="53" t="s">
        <v>89</v>
      </c>
      <c r="AG109" s="122" t="s">
        <v>90</v>
      </c>
      <c r="AH109" s="122" t="s">
        <v>90</v>
      </c>
      <c r="AI109" s="150"/>
      <c r="AJ109" s="63">
        <f t="shared" si="39"/>
        <v>0</v>
      </c>
      <c r="AK109" s="80"/>
      <c r="AL109" s="122">
        <f t="shared" si="40"/>
        <v>0</v>
      </c>
      <c r="AM109" s="122"/>
      <c r="AN109" s="122"/>
      <c r="AO109" s="64"/>
      <c r="AP109" s="80"/>
      <c r="AQ109" s="80"/>
      <c r="AR109" s="80"/>
      <c r="AS109" s="80"/>
      <c r="AT109" s="122"/>
      <c r="AU109" s="122"/>
      <c r="AV109" s="122"/>
      <c r="AW109" s="122"/>
      <c r="AX109" s="184">
        <f t="shared" si="30"/>
        <v>0</v>
      </c>
      <c r="AY109" s="53">
        <f t="shared" si="36"/>
        <v>0</v>
      </c>
      <c r="AZ109" s="137"/>
      <c r="BA109" s="80"/>
      <c r="BB109" s="122">
        <f t="shared" si="35"/>
        <v>0</v>
      </c>
      <c r="BC109" s="122"/>
    </row>
    <row r="110" spans="1:55" ht="17.45" customHeight="1" x14ac:dyDescent="0.2">
      <c r="A110" s="216" t="s">
        <v>310</v>
      </c>
      <c r="B110" s="55"/>
      <c r="C110" s="186"/>
      <c r="D110" s="271"/>
      <c r="E110" s="272"/>
      <c r="F110" s="272"/>
      <c r="G110" s="273">
        <v>350</v>
      </c>
      <c r="H110" s="272"/>
      <c r="I110" s="272">
        <v>1</v>
      </c>
      <c r="J110" s="272"/>
      <c r="K110" s="58">
        <f t="shared" si="37"/>
        <v>0</v>
      </c>
      <c r="L110" s="274"/>
      <c r="M110" s="274"/>
      <c r="N110" s="274"/>
      <c r="O110" s="274"/>
      <c r="P110" s="127">
        <f t="shared" si="38"/>
        <v>0</v>
      </c>
      <c r="Q110" s="153"/>
      <c r="X110" s="35">
        <v>87</v>
      </c>
      <c r="Y110" s="221" t="s">
        <v>311</v>
      </c>
      <c r="Z110" s="84" t="s">
        <v>312</v>
      </c>
      <c r="AA110" s="85"/>
      <c r="AB110" s="85" t="s">
        <v>124</v>
      </c>
      <c r="AC110" s="63" t="s">
        <v>90</v>
      </c>
      <c r="AD110" s="122" t="s">
        <v>90</v>
      </c>
      <c r="AE110" s="53" t="s">
        <v>89</v>
      </c>
      <c r="AF110" s="53" t="s">
        <v>89</v>
      </c>
      <c r="AG110" s="122" t="s">
        <v>90</v>
      </c>
      <c r="AH110" s="122" t="s">
        <v>90</v>
      </c>
      <c r="AI110" s="150"/>
      <c r="AJ110" s="63">
        <f t="shared" si="39"/>
        <v>0</v>
      </c>
      <c r="AK110" s="80"/>
      <c r="AL110" s="122">
        <f t="shared" si="40"/>
        <v>0</v>
      </c>
      <c r="AM110" s="122"/>
      <c r="AN110" s="122"/>
      <c r="AO110" s="64"/>
      <c r="AP110" s="80"/>
      <c r="AQ110" s="80"/>
      <c r="AR110" s="80"/>
      <c r="AS110" s="80"/>
      <c r="AT110" s="122"/>
      <c r="AU110" s="122"/>
      <c r="AV110" s="122"/>
      <c r="AW110" s="122"/>
      <c r="AX110" s="184">
        <f t="shared" si="30"/>
        <v>0</v>
      </c>
      <c r="AY110" s="53">
        <f t="shared" si="36"/>
        <v>0</v>
      </c>
      <c r="AZ110" s="137"/>
      <c r="BA110" s="80"/>
      <c r="BB110" s="122">
        <f t="shared" si="35"/>
        <v>0</v>
      </c>
      <c r="BC110" s="122"/>
    </row>
    <row r="111" spans="1:55" ht="30" customHeight="1" x14ac:dyDescent="0.2">
      <c r="A111" s="261" t="s">
        <v>313</v>
      </c>
      <c r="B111" s="275"/>
      <c r="C111" s="276" t="s">
        <v>300</v>
      </c>
      <c r="D111" s="275"/>
      <c r="E111" s="275"/>
      <c r="F111" s="275"/>
      <c r="G111" s="275"/>
      <c r="H111" s="275"/>
      <c r="I111" s="275"/>
      <c r="J111" s="275"/>
      <c r="K111" s="275"/>
      <c r="L111" s="275"/>
      <c r="M111" s="275"/>
      <c r="N111" s="275"/>
      <c r="O111" s="275"/>
      <c r="P111" s="275"/>
      <c r="Q111" s="153"/>
      <c r="X111" s="35">
        <v>88</v>
      </c>
      <c r="Y111" s="221" t="s">
        <v>314</v>
      </c>
      <c r="Z111" s="84" t="s">
        <v>315</v>
      </c>
      <c r="AA111" s="85"/>
      <c r="AB111" s="85" t="s">
        <v>124</v>
      </c>
      <c r="AC111" s="63" t="s">
        <v>90</v>
      </c>
      <c r="AD111" s="122" t="s">
        <v>90</v>
      </c>
      <c r="AE111" s="53" t="s">
        <v>89</v>
      </c>
      <c r="AF111" s="53" t="s">
        <v>89</v>
      </c>
      <c r="AG111" s="122" t="s">
        <v>90</v>
      </c>
      <c r="AH111" s="122" t="s">
        <v>90</v>
      </c>
      <c r="AI111" s="150"/>
      <c r="AJ111" s="170">
        <f t="shared" si="39"/>
        <v>0</v>
      </c>
      <c r="AK111" s="145"/>
      <c r="AL111" s="122">
        <f t="shared" si="40"/>
        <v>0</v>
      </c>
      <c r="AM111" s="122"/>
      <c r="AN111" s="122"/>
      <c r="AO111" s="213"/>
      <c r="AP111" s="145"/>
      <c r="AQ111" s="145"/>
      <c r="AR111" s="145"/>
      <c r="AS111" s="145"/>
      <c r="AT111" s="122"/>
      <c r="AU111" s="122"/>
      <c r="AV111" s="122"/>
      <c r="AW111" s="122"/>
      <c r="AX111" s="184">
        <f t="shared" si="30"/>
        <v>0</v>
      </c>
      <c r="AY111" s="184">
        <f>AI111</f>
        <v>0</v>
      </c>
      <c r="AZ111" s="150"/>
      <c r="BA111" s="145"/>
      <c r="BB111" s="122">
        <f t="shared" si="35"/>
        <v>0</v>
      </c>
      <c r="BC111" s="122"/>
    </row>
    <row r="112" spans="1:55" ht="36" customHeight="1" x14ac:dyDescent="0.2">
      <c r="A112" s="261" t="s">
        <v>316</v>
      </c>
      <c r="B112" s="275"/>
      <c r="C112" s="276">
        <v>226015</v>
      </c>
      <c r="D112" s="275"/>
      <c r="E112" s="275"/>
      <c r="F112" s="275"/>
      <c r="G112" s="275"/>
      <c r="H112" s="275"/>
      <c r="I112" s="275"/>
      <c r="J112" s="275"/>
      <c r="K112" s="275"/>
      <c r="L112" s="275"/>
      <c r="M112" s="275"/>
      <c r="N112" s="275"/>
      <c r="O112" s="275"/>
      <c r="P112" s="277">
        <v>2690</v>
      </c>
      <c r="Q112" s="153"/>
      <c r="X112" s="35"/>
      <c r="Y112" s="221"/>
      <c r="Z112" s="84"/>
      <c r="AA112" s="85"/>
      <c r="AB112" s="85"/>
      <c r="AC112" s="63"/>
      <c r="AD112" s="122"/>
      <c r="AE112" s="53"/>
      <c r="AF112" s="53"/>
      <c r="AG112" s="122"/>
      <c r="AH112" s="122"/>
      <c r="AI112" s="150"/>
      <c r="AJ112" s="170"/>
      <c r="AK112" s="145"/>
      <c r="AL112" s="122"/>
      <c r="AM112" s="122"/>
      <c r="AN112" s="122"/>
      <c r="AO112" s="213"/>
      <c r="AP112" s="145"/>
      <c r="AQ112" s="145"/>
      <c r="AR112" s="145"/>
      <c r="AS112" s="145"/>
      <c r="AT112" s="122"/>
      <c r="AU112" s="122"/>
      <c r="AV112" s="122"/>
      <c r="AW112" s="122"/>
      <c r="AX112" s="184"/>
      <c r="AY112" s="184"/>
      <c r="AZ112" s="150"/>
      <c r="BA112" s="145"/>
      <c r="BB112" s="122"/>
      <c r="BC112" s="122"/>
    </row>
    <row r="113" spans="1:55" ht="19.149999999999999" customHeight="1" x14ac:dyDescent="0.2">
      <c r="A113" s="261" t="s">
        <v>317</v>
      </c>
      <c r="B113" s="275"/>
      <c r="C113" s="276" t="s">
        <v>318</v>
      </c>
      <c r="D113" s="275"/>
      <c r="E113" s="275"/>
      <c r="F113" s="275"/>
      <c r="G113" s="275"/>
      <c r="H113" s="275"/>
      <c r="I113" s="275"/>
      <c r="J113" s="275"/>
      <c r="K113" s="275"/>
      <c r="L113" s="275"/>
      <c r="M113" s="275"/>
      <c r="N113" s="275"/>
      <c r="O113" s="275"/>
      <c r="P113" s="275"/>
      <c r="Q113" s="153"/>
      <c r="X113" s="35">
        <v>89</v>
      </c>
      <c r="Y113" s="221" t="s">
        <v>319</v>
      </c>
      <c r="Z113" s="84" t="s">
        <v>320</v>
      </c>
      <c r="AA113" s="85"/>
      <c r="AB113" s="85" t="s">
        <v>124</v>
      </c>
      <c r="AC113" s="63" t="s">
        <v>90</v>
      </c>
      <c r="AD113" s="122" t="s">
        <v>90</v>
      </c>
      <c r="AE113" s="53" t="s">
        <v>89</v>
      </c>
      <c r="AF113" s="53" t="s">
        <v>89</v>
      </c>
      <c r="AG113" s="122" t="s">
        <v>90</v>
      </c>
      <c r="AH113" s="122" t="s">
        <v>90</v>
      </c>
      <c r="AI113" s="150"/>
      <c r="AJ113" s="63">
        <f t="shared" si="39"/>
        <v>0</v>
      </c>
      <c r="AK113" s="80"/>
      <c r="AL113" s="122">
        <f t="shared" si="40"/>
        <v>0</v>
      </c>
      <c r="AM113" s="122"/>
      <c r="AN113" s="122"/>
      <c r="AO113" s="64"/>
      <c r="AP113" s="80"/>
      <c r="AQ113" s="80"/>
      <c r="AR113" s="80"/>
      <c r="AS113" s="80"/>
      <c r="AT113" s="122"/>
      <c r="AU113" s="122"/>
      <c r="AV113" s="122"/>
      <c r="AW113" s="122"/>
      <c r="AX113" s="184">
        <f t="shared" si="30"/>
        <v>0</v>
      </c>
      <c r="AY113" s="53">
        <f t="shared" si="36"/>
        <v>0</v>
      </c>
      <c r="AZ113" s="80"/>
      <c r="BA113" s="80"/>
      <c r="BB113" s="122">
        <f t="shared" si="35"/>
        <v>0</v>
      </c>
      <c r="BC113" s="122"/>
    </row>
    <row r="114" spans="1:55" ht="19.149999999999999" customHeight="1" x14ac:dyDescent="0.2">
      <c r="A114" s="261" t="s">
        <v>321</v>
      </c>
      <c r="B114" s="275"/>
      <c r="C114" s="276">
        <v>226022</v>
      </c>
      <c r="D114" s="275"/>
      <c r="E114" s="275"/>
      <c r="F114" s="275"/>
      <c r="G114" s="275"/>
      <c r="H114" s="275"/>
      <c r="I114" s="275"/>
      <c r="J114" s="275"/>
      <c r="K114" s="275"/>
      <c r="L114" s="275"/>
      <c r="M114" s="275"/>
      <c r="N114" s="275"/>
      <c r="O114" s="275"/>
      <c r="P114" s="275"/>
      <c r="Q114" s="153"/>
      <c r="X114" s="35">
        <v>90</v>
      </c>
      <c r="Y114" s="103" t="s">
        <v>322</v>
      </c>
      <c r="Z114" s="84" t="s">
        <v>323</v>
      </c>
      <c r="AA114" s="85"/>
      <c r="AB114" s="85" t="s">
        <v>124</v>
      </c>
      <c r="AC114" s="63" t="s">
        <v>90</v>
      </c>
      <c r="AD114" s="122" t="s">
        <v>90</v>
      </c>
      <c r="AE114" s="53" t="s">
        <v>89</v>
      </c>
      <c r="AF114" s="53" t="s">
        <v>89</v>
      </c>
      <c r="AG114" s="122" t="s">
        <v>90</v>
      </c>
      <c r="AH114" s="122" t="s">
        <v>90</v>
      </c>
      <c r="AI114" s="150"/>
      <c r="AJ114" s="63">
        <f t="shared" si="39"/>
        <v>0</v>
      </c>
      <c r="AK114" s="80"/>
      <c r="AL114" s="122">
        <f t="shared" si="40"/>
        <v>0</v>
      </c>
      <c r="AM114" s="122"/>
      <c r="AN114" s="122"/>
      <c r="AO114" s="64"/>
      <c r="AP114" s="80"/>
      <c r="AQ114" s="80"/>
      <c r="AR114" s="80"/>
      <c r="AS114" s="80"/>
      <c r="AT114" s="122"/>
      <c r="AU114" s="122"/>
      <c r="AV114" s="122"/>
      <c r="AW114" s="122"/>
      <c r="AX114" s="184">
        <f t="shared" si="30"/>
        <v>0</v>
      </c>
      <c r="AY114" s="53">
        <f t="shared" si="36"/>
        <v>0</v>
      </c>
      <c r="AZ114" s="137"/>
      <c r="BA114" s="80"/>
      <c r="BB114" s="122">
        <f t="shared" si="35"/>
        <v>0</v>
      </c>
      <c r="BC114" s="122"/>
    </row>
    <row r="115" spans="1:55" ht="30.75" customHeight="1" x14ac:dyDescent="0.2">
      <c r="A115" s="261" t="s">
        <v>311</v>
      </c>
      <c r="B115" s="275"/>
      <c r="C115" s="276">
        <v>226025</v>
      </c>
      <c r="D115" s="275"/>
      <c r="E115" s="275"/>
      <c r="F115" s="275"/>
      <c r="G115" s="275"/>
      <c r="H115" s="275"/>
      <c r="I115" s="275"/>
      <c r="J115" s="275"/>
      <c r="K115" s="275"/>
      <c r="L115" s="275"/>
      <c r="M115" s="275"/>
      <c r="N115" s="275"/>
      <c r="O115" s="275"/>
      <c r="P115" s="275"/>
      <c r="Q115" s="153" t="s">
        <v>324</v>
      </c>
      <c r="X115" s="35">
        <v>91</v>
      </c>
      <c r="Y115" s="61" t="s">
        <v>325</v>
      </c>
      <c r="Z115" s="84" t="s">
        <v>326</v>
      </c>
      <c r="AA115" s="85"/>
      <c r="AB115" s="85" t="s">
        <v>124</v>
      </c>
      <c r="AC115" s="63" t="s">
        <v>90</v>
      </c>
      <c r="AD115" s="122" t="s">
        <v>90</v>
      </c>
      <c r="AE115" s="53" t="s">
        <v>89</v>
      </c>
      <c r="AF115" s="53" t="s">
        <v>89</v>
      </c>
      <c r="AG115" s="122" t="s">
        <v>90</v>
      </c>
      <c r="AH115" s="122" t="s">
        <v>90</v>
      </c>
      <c r="AI115" s="150">
        <f>P119</f>
        <v>70420</v>
      </c>
      <c r="AJ115" s="63">
        <f t="shared" si="39"/>
        <v>70420</v>
      </c>
      <c r="AK115" s="80"/>
      <c r="AL115" s="122">
        <f t="shared" si="40"/>
        <v>70420</v>
      </c>
      <c r="AM115" s="122"/>
      <c r="AN115" s="122"/>
      <c r="AO115" s="64"/>
      <c r="AP115" s="80"/>
      <c r="AQ115" s="80"/>
      <c r="AR115" s="80"/>
      <c r="AS115" s="80"/>
      <c r="AT115" s="122"/>
      <c r="AU115" s="122"/>
      <c r="AV115" s="122"/>
      <c r="AW115" s="122"/>
      <c r="AX115" s="184">
        <f t="shared" si="30"/>
        <v>67420</v>
      </c>
      <c r="AY115" s="53">
        <f>AI115-3000</f>
        <v>67420</v>
      </c>
      <c r="AZ115" s="137"/>
      <c r="BA115" s="80"/>
      <c r="BB115" s="122">
        <f t="shared" si="35"/>
        <v>3000</v>
      </c>
      <c r="BC115" s="122"/>
    </row>
    <row r="116" spans="1:55" ht="16.5" customHeight="1" x14ac:dyDescent="0.2">
      <c r="A116" s="261" t="s">
        <v>327</v>
      </c>
      <c r="B116" s="275"/>
      <c r="C116" s="276">
        <v>226026</v>
      </c>
      <c r="D116" s="275"/>
      <c r="E116" s="275"/>
      <c r="F116" s="275"/>
      <c r="G116" s="275"/>
      <c r="H116" s="275"/>
      <c r="I116" s="275"/>
      <c r="J116" s="275"/>
      <c r="K116" s="275"/>
      <c r="L116" s="275"/>
      <c r="M116" s="275"/>
      <c r="N116" s="275"/>
      <c r="O116" s="275"/>
      <c r="P116" s="275"/>
      <c r="Q116" s="153"/>
      <c r="X116" s="35">
        <v>92</v>
      </c>
      <c r="Y116" s="61" t="s">
        <v>325</v>
      </c>
      <c r="Z116" s="84" t="s">
        <v>192</v>
      </c>
      <c r="AA116" s="85"/>
      <c r="AB116" s="85" t="s">
        <v>124</v>
      </c>
      <c r="AC116" s="63" t="s">
        <v>90</v>
      </c>
      <c r="AD116" s="122" t="s">
        <v>90</v>
      </c>
      <c r="AE116" s="53" t="s">
        <v>89</v>
      </c>
      <c r="AF116" s="53" t="s">
        <v>89</v>
      </c>
      <c r="AG116" s="122" t="s">
        <v>90</v>
      </c>
      <c r="AH116" s="122" t="s">
        <v>90</v>
      </c>
      <c r="AI116" s="150"/>
      <c r="AJ116" s="63">
        <f t="shared" si="39"/>
        <v>0</v>
      </c>
      <c r="AK116" s="80"/>
      <c r="AL116" s="122">
        <f t="shared" si="40"/>
        <v>0</v>
      </c>
      <c r="AM116" s="122"/>
      <c r="AN116" s="122"/>
      <c r="AO116" s="64"/>
      <c r="AP116" s="80"/>
      <c r="AQ116" s="80"/>
      <c r="AR116" s="80"/>
      <c r="AS116" s="80"/>
      <c r="AT116" s="122"/>
      <c r="AU116" s="122"/>
      <c r="AV116" s="122"/>
      <c r="AW116" s="122"/>
      <c r="AX116" s="184">
        <f t="shared" si="30"/>
        <v>0</v>
      </c>
      <c r="AY116" s="53">
        <f t="shared" si="36"/>
        <v>0</v>
      </c>
      <c r="AZ116" s="80"/>
      <c r="BA116" s="80"/>
      <c r="BB116" s="122">
        <f t="shared" si="35"/>
        <v>0</v>
      </c>
      <c r="BC116" s="122"/>
    </row>
    <row r="117" spans="1:55" ht="27.6" customHeight="1" x14ac:dyDescent="0.2">
      <c r="A117" s="261" t="s">
        <v>314</v>
      </c>
      <c r="B117" s="275"/>
      <c r="C117" s="276">
        <v>226027</v>
      </c>
      <c r="D117" s="275"/>
      <c r="E117" s="275"/>
      <c r="F117" s="275" t="s">
        <v>86</v>
      </c>
      <c r="G117" s="275"/>
      <c r="H117" s="275" t="s">
        <v>86</v>
      </c>
      <c r="I117" s="275"/>
      <c r="J117" s="275" t="s">
        <v>87</v>
      </c>
      <c r="K117" s="275">
        <f>ROUND(E117*G117*I117,0)</f>
        <v>0</v>
      </c>
      <c r="L117" s="275"/>
      <c r="M117" s="275"/>
      <c r="N117" s="275"/>
      <c r="O117" s="275"/>
      <c r="P117" s="275">
        <f>K117</f>
        <v>0</v>
      </c>
      <c r="Q117" s="153"/>
      <c r="X117" s="94">
        <v>93</v>
      </c>
      <c r="Y117" s="112" t="s">
        <v>328</v>
      </c>
      <c r="Z117" s="96"/>
      <c r="AA117" s="97"/>
      <c r="AB117" s="97"/>
      <c r="AC117" s="208" t="s">
        <v>90</v>
      </c>
      <c r="AD117" s="208" t="s">
        <v>90</v>
      </c>
      <c r="AE117" s="208" t="s">
        <v>90</v>
      </c>
      <c r="AF117" s="208" t="s">
        <v>90</v>
      </c>
      <c r="AG117" s="208" t="s">
        <v>90</v>
      </c>
      <c r="AH117" s="208" t="s">
        <v>90</v>
      </c>
      <c r="AI117" s="208">
        <f>SUM(AI118:AI119)</f>
        <v>0</v>
      </c>
      <c r="AJ117" s="208">
        <f t="shared" ref="AJ117:BC117" si="41">SUM(AJ118:AJ119)</f>
        <v>0</v>
      </c>
      <c r="AK117" s="80">
        <f t="shared" si="41"/>
        <v>0</v>
      </c>
      <c r="AL117" s="208">
        <f t="shared" si="41"/>
        <v>0</v>
      </c>
      <c r="AM117" s="208"/>
      <c r="AN117" s="208">
        <f t="shared" si="41"/>
        <v>0</v>
      </c>
      <c r="AO117" s="64">
        <f t="shared" si="41"/>
        <v>0</v>
      </c>
      <c r="AP117" s="80">
        <f t="shared" si="41"/>
        <v>0</v>
      </c>
      <c r="AQ117" s="80"/>
      <c r="AR117" s="80"/>
      <c r="AS117" s="80">
        <f t="shared" si="41"/>
        <v>0</v>
      </c>
      <c r="AT117" s="209">
        <f t="shared" si="41"/>
        <v>0</v>
      </c>
      <c r="AU117" s="209">
        <f t="shared" si="41"/>
        <v>0</v>
      </c>
      <c r="AV117" s="209"/>
      <c r="AW117" s="209">
        <f t="shared" si="41"/>
        <v>0</v>
      </c>
      <c r="AX117" s="209">
        <f t="shared" si="41"/>
        <v>0</v>
      </c>
      <c r="AY117" s="209">
        <f t="shared" si="41"/>
        <v>0</v>
      </c>
      <c r="AZ117" s="209">
        <f t="shared" si="41"/>
        <v>0</v>
      </c>
      <c r="BA117" s="278">
        <f t="shared" si="41"/>
        <v>0</v>
      </c>
      <c r="BB117" s="278">
        <f t="shared" si="41"/>
        <v>0</v>
      </c>
      <c r="BC117" s="208">
        <f t="shared" si="41"/>
        <v>0</v>
      </c>
    </row>
    <row r="118" spans="1:55" ht="33" customHeight="1" x14ac:dyDescent="0.2">
      <c r="A118" s="261" t="s">
        <v>329</v>
      </c>
      <c r="B118" s="275"/>
      <c r="C118" s="276">
        <v>226050</v>
      </c>
      <c r="D118" s="275"/>
      <c r="E118" s="275"/>
      <c r="F118" s="275"/>
      <c r="G118" s="275"/>
      <c r="H118" s="275"/>
      <c r="I118" s="275"/>
      <c r="J118" s="275"/>
      <c r="K118" s="275"/>
      <c r="L118" s="275"/>
      <c r="M118" s="275"/>
      <c r="N118" s="275"/>
      <c r="O118" s="275"/>
      <c r="P118" s="275"/>
      <c r="Q118" s="153"/>
      <c r="X118" s="35">
        <v>94</v>
      </c>
      <c r="Y118" s="103" t="s">
        <v>330</v>
      </c>
      <c r="Z118" s="84" t="s">
        <v>331</v>
      </c>
      <c r="AA118" s="85"/>
      <c r="AB118" s="85" t="s">
        <v>332</v>
      </c>
      <c r="AC118" s="63" t="s">
        <v>90</v>
      </c>
      <c r="AD118" s="122" t="s">
        <v>90</v>
      </c>
      <c r="AE118" s="53" t="s">
        <v>89</v>
      </c>
      <c r="AF118" s="53" t="s">
        <v>89</v>
      </c>
      <c r="AG118" s="122" t="s">
        <v>90</v>
      </c>
      <c r="AH118" s="122" t="s">
        <v>90</v>
      </c>
      <c r="AI118" s="150">
        <f>P126</f>
        <v>0</v>
      </c>
      <c r="AJ118" s="63">
        <f>AK118+AL118+AN118</f>
        <v>0</v>
      </c>
      <c r="AK118" s="80"/>
      <c r="AL118" s="122">
        <f>AS118+AU118+AX118+BA118+BB118</f>
        <v>0</v>
      </c>
      <c r="AM118" s="122"/>
      <c r="AN118" s="122"/>
      <c r="AO118" s="64"/>
      <c r="AP118" s="80"/>
      <c r="AQ118" s="80"/>
      <c r="AR118" s="80"/>
      <c r="AS118" s="80"/>
      <c r="AT118" s="150"/>
      <c r="AU118" s="122"/>
      <c r="AV118" s="122"/>
      <c r="AW118" s="122"/>
      <c r="AX118" s="53">
        <f t="shared" ref="AX118:AX129" si="42">AY118</f>
        <v>0</v>
      </c>
      <c r="AY118" s="53">
        <f>AI118</f>
        <v>0</v>
      </c>
      <c r="AZ118" s="137"/>
      <c r="BA118" s="80"/>
      <c r="BB118" s="122">
        <f>AI118-AX118</f>
        <v>0</v>
      </c>
      <c r="BC118" s="122"/>
    </row>
    <row r="119" spans="1:55" ht="27" customHeight="1" x14ac:dyDescent="0.2">
      <c r="A119" s="261" t="s">
        <v>325</v>
      </c>
      <c r="B119" s="133"/>
      <c r="C119" s="279">
        <v>226098</v>
      </c>
      <c r="D119" s="280"/>
      <c r="E119" s="281"/>
      <c r="F119" s="281"/>
      <c r="G119" s="281"/>
      <c r="H119" s="281"/>
      <c r="I119" s="281"/>
      <c r="J119" s="281"/>
      <c r="K119" s="281"/>
      <c r="L119" s="281"/>
      <c r="M119" s="281"/>
      <c r="N119" s="281"/>
      <c r="O119" s="281"/>
      <c r="P119" s="211">
        <f>SUM(P120:P124)</f>
        <v>70420</v>
      </c>
      <c r="Q119" s="153"/>
      <c r="X119" s="35">
        <v>95</v>
      </c>
      <c r="Y119" s="103" t="s">
        <v>333</v>
      </c>
      <c r="Z119" s="84" t="s">
        <v>334</v>
      </c>
      <c r="AA119" s="85"/>
      <c r="AB119" s="85" t="s">
        <v>332</v>
      </c>
      <c r="AC119" s="63" t="s">
        <v>90</v>
      </c>
      <c r="AD119" s="122" t="s">
        <v>90</v>
      </c>
      <c r="AE119" s="53" t="s">
        <v>89</v>
      </c>
      <c r="AF119" s="53" t="s">
        <v>89</v>
      </c>
      <c r="AG119" s="122" t="s">
        <v>90</v>
      </c>
      <c r="AH119" s="122" t="s">
        <v>90</v>
      </c>
      <c r="AI119" s="150">
        <f>P127</f>
        <v>0</v>
      </c>
      <c r="AJ119" s="63">
        <f>AK119+AL119+AN119</f>
        <v>0</v>
      </c>
      <c r="AK119" s="80"/>
      <c r="AL119" s="122">
        <f>AS119+AU119+AX119+BA119+BB119</f>
        <v>0</v>
      </c>
      <c r="AM119" s="122"/>
      <c r="AN119" s="122"/>
      <c r="AO119" s="64"/>
      <c r="AP119" s="80"/>
      <c r="AQ119" s="80"/>
      <c r="AR119" s="80"/>
      <c r="AS119" s="80"/>
      <c r="AT119" s="150"/>
      <c r="AU119" s="122"/>
      <c r="AV119" s="122"/>
      <c r="AW119" s="122"/>
      <c r="AX119" s="53">
        <f>AZ119</f>
        <v>0</v>
      </c>
      <c r="AY119" s="53"/>
      <c r="AZ119" s="137"/>
      <c r="BA119" s="80"/>
      <c r="BB119" s="122"/>
      <c r="BC119" s="122"/>
    </row>
    <row r="120" spans="1:55" ht="29.45" customHeight="1" x14ac:dyDescent="0.2">
      <c r="A120" s="231" t="s">
        <v>335</v>
      </c>
      <c r="B120" s="55"/>
      <c r="C120" s="282"/>
      <c r="D120" s="116"/>
      <c r="E120" s="57"/>
      <c r="F120" s="57"/>
      <c r="G120" s="57"/>
      <c r="H120" s="57"/>
      <c r="I120" s="57"/>
      <c r="J120" s="57"/>
      <c r="K120" s="57"/>
      <c r="L120" s="57"/>
      <c r="M120" s="57"/>
      <c r="N120" s="57"/>
      <c r="O120" s="57"/>
      <c r="P120" s="60"/>
      <c r="Q120" s="153"/>
      <c r="X120" s="94">
        <v>96</v>
      </c>
      <c r="Y120" s="112" t="s">
        <v>336</v>
      </c>
      <c r="Z120" s="96"/>
      <c r="AA120" s="97"/>
      <c r="AB120" s="97"/>
      <c r="AC120" s="208" t="s">
        <v>90</v>
      </c>
      <c r="AD120" s="208" t="s">
        <v>90</v>
      </c>
      <c r="AE120" s="208" t="s">
        <v>89</v>
      </c>
      <c r="AF120" s="208" t="s">
        <v>89</v>
      </c>
      <c r="AG120" s="208" t="s">
        <v>90</v>
      </c>
      <c r="AH120" s="208" t="s">
        <v>90</v>
      </c>
      <c r="AI120" s="208"/>
      <c r="AJ120" s="208">
        <f>SUM(AJ121:AJ123)</f>
        <v>0</v>
      </c>
      <c r="AK120" s="80">
        <f t="shared" ref="AK120:BC120" si="43">SUM(AK121:AK123)</f>
        <v>0</v>
      </c>
      <c r="AL120" s="208">
        <f t="shared" si="43"/>
        <v>0</v>
      </c>
      <c r="AM120" s="208"/>
      <c r="AN120" s="208">
        <f t="shared" si="43"/>
        <v>0</v>
      </c>
      <c r="AO120" s="64">
        <f t="shared" si="43"/>
        <v>0</v>
      </c>
      <c r="AP120" s="80">
        <f t="shared" si="43"/>
        <v>0</v>
      </c>
      <c r="AQ120" s="80"/>
      <c r="AR120" s="80"/>
      <c r="AS120" s="80">
        <f t="shared" si="43"/>
        <v>0</v>
      </c>
      <c r="AT120" s="209">
        <f t="shared" si="43"/>
        <v>0</v>
      </c>
      <c r="AU120" s="209">
        <f t="shared" si="43"/>
        <v>0</v>
      </c>
      <c r="AV120" s="209"/>
      <c r="AW120" s="209">
        <f t="shared" si="43"/>
        <v>0</v>
      </c>
      <c r="AX120" s="209">
        <f t="shared" si="43"/>
        <v>0</v>
      </c>
      <c r="AY120" s="209">
        <f t="shared" si="43"/>
        <v>0</v>
      </c>
      <c r="AZ120" s="278">
        <f t="shared" si="43"/>
        <v>0</v>
      </c>
      <c r="BA120" s="80">
        <f t="shared" si="43"/>
        <v>0</v>
      </c>
      <c r="BB120" s="278">
        <f t="shared" si="43"/>
        <v>0</v>
      </c>
      <c r="BC120" s="208">
        <f t="shared" si="43"/>
        <v>0</v>
      </c>
    </row>
    <row r="121" spans="1:55" ht="45" customHeight="1" x14ac:dyDescent="0.2">
      <c r="A121" s="231" t="s">
        <v>337</v>
      </c>
      <c r="B121" s="55"/>
      <c r="C121" s="282"/>
      <c r="D121" s="116"/>
      <c r="E121" s="58"/>
      <c r="F121" s="58" t="s">
        <v>86</v>
      </c>
      <c r="G121" s="181">
        <v>600</v>
      </c>
      <c r="H121" s="58" t="s">
        <v>86</v>
      </c>
      <c r="I121" s="58">
        <v>1</v>
      </c>
      <c r="J121" s="58" t="s">
        <v>87</v>
      </c>
      <c r="K121" s="58">
        <f>ROUND(E121*G121*I121,0)</f>
        <v>0</v>
      </c>
      <c r="L121" s="57"/>
      <c r="M121" s="57"/>
      <c r="N121" s="57"/>
      <c r="O121" s="57"/>
      <c r="P121" s="220">
        <f>K121</f>
        <v>0</v>
      </c>
      <c r="Q121" s="153"/>
      <c r="X121" s="35">
        <v>97</v>
      </c>
      <c r="Y121" s="61" t="s">
        <v>338</v>
      </c>
      <c r="Z121" s="36" t="s">
        <v>290</v>
      </c>
      <c r="AA121" s="121"/>
      <c r="AB121" s="121" t="s">
        <v>339</v>
      </c>
      <c r="AC121" s="63" t="s">
        <v>90</v>
      </c>
      <c r="AD121" s="122" t="s">
        <v>90</v>
      </c>
      <c r="AE121" s="53" t="s">
        <v>89</v>
      </c>
      <c r="AF121" s="53" t="s">
        <v>89</v>
      </c>
      <c r="AG121" s="122" t="s">
        <v>90</v>
      </c>
      <c r="AH121" s="122" t="s">
        <v>90</v>
      </c>
      <c r="AI121" s="150"/>
      <c r="AJ121" s="63">
        <f>AK121+AL121+AN121</f>
        <v>0</v>
      </c>
      <c r="AK121" s="80"/>
      <c r="AL121" s="122">
        <f>AS121+AU121+AX121+BA121+BB121</f>
        <v>0</v>
      </c>
      <c r="AM121" s="122"/>
      <c r="AN121" s="122"/>
      <c r="AO121" s="64"/>
      <c r="AP121" s="80"/>
      <c r="AQ121" s="80"/>
      <c r="AR121" s="80"/>
      <c r="AS121" s="80"/>
      <c r="AT121" s="122"/>
      <c r="AU121" s="122"/>
      <c r="AV121" s="122"/>
      <c r="AW121" s="122"/>
      <c r="AX121" s="53">
        <f t="shared" si="42"/>
        <v>0</v>
      </c>
      <c r="AY121" s="53">
        <f>AI121</f>
        <v>0</v>
      </c>
      <c r="AZ121" s="80"/>
      <c r="BA121" s="80"/>
      <c r="BB121" s="122">
        <f>AI121-AX121</f>
        <v>0</v>
      </c>
      <c r="BC121" s="122"/>
    </row>
    <row r="122" spans="1:55" ht="16.899999999999999" customHeight="1" x14ac:dyDescent="0.2">
      <c r="A122" s="231" t="s">
        <v>325</v>
      </c>
      <c r="B122" s="55"/>
      <c r="C122" s="282"/>
      <c r="D122" s="116"/>
      <c r="E122" s="58">
        <f>C5</f>
        <v>1801</v>
      </c>
      <c r="F122" s="58" t="s">
        <v>86</v>
      </c>
      <c r="G122" s="230">
        <v>27.160395660846518</v>
      </c>
      <c r="H122" s="58" t="s">
        <v>86</v>
      </c>
      <c r="I122" s="58">
        <v>1</v>
      </c>
      <c r="J122" s="58" t="s">
        <v>87</v>
      </c>
      <c r="K122" s="283">
        <f>ROUND(E122*G122*I122,0)</f>
        <v>48916</v>
      </c>
      <c r="L122" s="57"/>
      <c r="M122" s="57"/>
      <c r="N122" s="57"/>
      <c r="O122" s="57"/>
      <c r="P122" s="220">
        <f>K122</f>
        <v>48916</v>
      </c>
      <c r="Q122" s="153"/>
      <c r="X122" s="35" t="s">
        <v>340</v>
      </c>
      <c r="Y122" s="61" t="s">
        <v>341</v>
      </c>
      <c r="Z122" s="84"/>
      <c r="AA122" s="85"/>
      <c r="AB122" s="85"/>
      <c r="AC122" s="63" t="s">
        <v>90</v>
      </c>
      <c r="AD122" s="63" t="s">
        <v>90</v>
      </c>
      <c r="AE122" s="63" t="s">
        <v>90</v>
      </c>
      <c r="AF122" s="63" t="s">
        <v>90</v>
      </c>
      <c r="AG122" s="63" t="s">
        <v>90</v>
      </c>
      <c r="AH122" s="63" t="s">
        <v>90</v>
      </c>
      <c r="AI122" s="63"/>
      <c r="AJ122" s="63">
        <f>AK122+AL122+AN122</f>
        <v>0</v>
      </c>
      <c r="AK122" s="114"/>
      <c r="AL122" s="122">
        <f>AS122+AU122+AX122+BA122+BB122</f>
        <v>0</v>
      </c>
      <c r="AM122" s="122"/>
      <c r="AN122" s="63"/>
      <c r="AO122" s="114"/>
      <c r="AP122" s="63"/>
      <c r="AQ122" s="63"/>
      <c r="AR122" s="63"/>
      <c r="AS122" s="63"/>
      <c r="AT122" s="63"/>
      <c r="AU122" s="63"/>
      <c r="AV122" s="63"/>
      <c r="AW122" s="63"/>
      <c r="AX122" s="53">
        <f t="shared" si="42"/>
        <v>0</v>
      </c>
      <c r="AY122" s="53">
        <f>AI122</f>
        <v>0</v>
      </c>
      <c r="AZ122" s="63"/>
      <c r="BA122" s="63"/>
      <c r="BB122" s="122">
        <f>AI122-AX122</f>
        <v>0</v>
      </c>
      <c r="BC122" s="122"/>
    </row>
    <row r="123" spans="1:55" ht="16.899999999999999" customHeight="1" x14ac:dyDescent="0.2">
      <c r="A123" s="231" t="s">
        <v>279</v>
      </c>
      <c r="B123" s="55"/>
      <c r="C123" s="282"/>
      <c r="D123" s="116"/>
      <c r="E123" s="57"/>
      <c r="F123" s="57"/>
      <c r="G123" s="57"/>
      <c r="H123" s="57"/>
      <c r="I123" s="57"/>
      <c r="J123" s="57"/>
      <c r="K123" s="57"/>
      <c r="L123" s="57"/>
      <c r="M123" s="57"/>
      <c r="N123" s="57"/>
      <c r="O123" s="57"/>
      <c r="P123" s="127"/>
      <c r="Q123" s="153"/>
      <c r="X123" s="35" t="s">
        <v>342</v>
      </c>
      <c r="Y123" s="61" t="s">
        <v>132</v>
      </c>
      <c r="Z123" s="84"/>
      <c r="AA123" s="85"/>
      <c r="AB123" s="85" t="s">
        <v>133</v>
      </c>
      <c r="AC123" s="63" t="s">
        <v>90</v>
      </c>
      <c r="AD123" s="122" t="s">
        <v>90</v>
      </c>
      <c r="AE123" s="53" t="s">
        <v>90</v>
      </c>
      <c r="AF123" s="53" t="s">
        <v>90</v>
      </c>
      <c r="AG123" s="122" t="s">
        <v>90</v>
      </c>
      <c r="AH123" s="122" t="s">
        <v>90</v>
      </c>
      <c r="AI123" s="150"/>
      <c r="AJ123" s="63">
        <f>AK123+AL123+AN123</f>
        <v>0</v>
      </c>
      <c r="AK123" s="80"/>
      <c r="AL123" s="122">
        <f>AS123+AU123+AX123+BA123+BB123</f>
        <v>0</v>
      </c>
      <c r="AM123" s="122"/>
      <c r="AN123" s="122"/>
      <c r="AO123" s="64"/>
      <c r="AP123" s="137"/>
      <c r="AQ123" s="137"/>
      <c r="AR123" s="137"/>
      <c r="AS123" s="137"/>
      <c r="AT123" s="122"/>
      <c r="AU123" s="122"/>
      <c r="AV123" s="122"/>
      <c r="AW123" s="122"/>
      <c r="AX123" s="53">
        <f t="shared" si="42"/>
        <v>0</v>
      </c>
      <c r="AY123" s="53">
        <f>AI123</f>
        <v>0</v>
      </c>
      <c r="AZ123" s="137"/>
      <c r="BA123" s="137"/>
      <c r="BB123" s="122">
        <f>AI123-AX123</f>
        <v>0</v>
      </c>
      <c r="BC123" s="122"/>
    </row>
    <row r="124" spans="1:55" ht="27" customHeight="1" x14ac:dyDescent="0.2">
      <c r="A124" s="231" t="s">
        <v>343</v>
      </c>
      <c r="B124" s="55"/>
      <c r="C124" s="282"/>
      <c r="D124" s="116"/>
      <c r="E124" s="58">
        <v>4</v>
      </c>
      <c r="F124" s="58" t="s">
        <v>86</v>
      </c>
      <c r="G124" s="230">
        <v>448</v>
      </c>
      <c r="H124" s="58" t="s">
        <v>86</v>
      </c>
      <c r="I124" s="58">
        <v>12</v>
      </c>
      <c r="J124" s="58" t="s">
        <v>87</v>
      </c>
      <c r="K124" s="283">
        <f>ROUND(E124*G124*I124,0)</f>
        <v>21504</v>
      </c>
      <c r="L124" s="57"/>
      <c r="M124" s="57"/>
      <c r="N124" s="57"/>
      <c r="O124" s="57"/>
      <c r="P124" s="126">
        <v>21504</v>
      </c>
      <c r="Q124" s="153"/>
      <c r="X124" s="94">
        <v>98</v>
      </c>
      <c r="Y124" s="95" t="s">
        <v>143</v>
      </c>
      <c r="Z124" s="96"/>
      <c r="AA124" s="97"/>
      <c r="AB124" s="97"/>
      <c r="AC124" s="208" t="s">
        <v>90</v>
      </c>
      <c r="AD124" s="208" t="s">
        <v>90</v>
      </c>
      <c r="AE124" s="208" t="s">
        <v>90</v>
      </c>
      <c r="AF124" s="208" t="s">
        <v>90</v>
      </c>
      <c r="AG124" s="208" t="s">
        <v>90</v>
      </c>
      <c r="AH124" s="208" t="s">
        <v>90</v>
      </c>
      <c r="AI124" s="208">
        <f>SUM(AI126:AI127)</f>
        <v>231703.02</v>
      </c>
      <c r="AJ124" s="208">
        <f>SUM(AJ126:AJ127)</f>
        <v>231703.02</v>
      </c>
      <c r="AK124" s="80">
        <f t="shared" ref="AK124:BC124" si="44">SUM(AK126:AK127)</f>
        <v>0</v>
      </c>
      <c r="AL124" s="208">
        <f t="shared" si="44"/>
        <v>231703.02</v>
      </c>
      <c r="AM124" s="208"/>
      <c r="AN124" s="208">
        <f t="shared" si="44"/>
        <v>0</v>
      </c>
      <c r="AO124" s="64">
        <f t="shared" si="44"/>
        <v>0</v>
      </c>
      <c r="AP124" s="278">
        <f t="shared" si="44"/>
        <v>0</v>
      </c>
      <c r="AQ124" s="278"/>
      <c r="AR124" s="278"/>
      <c r="AS124" s="278">
        <f t="shared" si="44"/>
        <v>0</v>
      </c>
      <c r="AT124" s="209">
        <f t="shared" si="44"/>
        <v>0</v>
      </c>
      <c r="AU124" s="209">
        <f t="shared" si="44"/>
        <v>0</v>
      </c>
      <c r="AV124" s="209"/>
      <c r="AW124" s="209">
        <f t="shared" si="44"/>
        <v>0</v>
      </c>
      <c r="AX124" s="209">
        <f t="shared" si="44"/>
        <v>181703.02</v>
      </c>
      <c r="AY124" s="209">
        <f t="shared" si="44"/>
        <v>181703.02</v>
      </c>
      <c r="AZ124" s="209">
        <f t="shared" si="44"/>
        <v>0</v>
      </c>
      <c r="BA124" s="278">
        <f t="shared" si="44"/>
        <v>0</v>
      </c>
      <c r="BB124" s="278">
        <f t="shared" si="44"/>
        <v>50000</v>
      </c>
      <c r="BC124" s="208">
        <f t="shared" si="44"/>
        <v>0</v>
      </c>
    </row>
    <row r="125" spans="1:55" ht="16.899999999999999" customHeight="1" x14ac:dyDescent="0.2">
      <c r="A125" s="111" t="s">
        <v>344</v>
      </c>
      <c r="B125" s="284">
        <v>227</v>
      </c>
      <c r="C125" s="285"/>
      <c r="D125" s="286"/>
      <c r="E125" s="286"/>
      <c r="F125" s="286"/>
      <c r="G125" s="286"/>
      <c r="H125" s="286"/>
      <c r="I125" s="286"/>
      <c r="J125" s="286"/>
      <c r="K125" s="286"/>
      <c r="L125" s="286"/>
      <c r="M125" s="286"/>
      <c r="N125" s="286"/>
      <c r="O125" s="286"/>
      <c r="P125" s="286">
        <f>SUM(P126:P127)</f>
        <v>0</v>
      </c>
      <c r="Q125" s="153"/>
      <c r="X125" s="35">
        <v>99</v>
      </c>
      <c r="Y125" s="103" t="s">
        <v>345</v>
      </c>
      <c r="Z125" s="84" t="s">
        <v>346</v>
      </c>
      <c r="AA125" s="85"/>
      <c r="AB125" s="85" t="s">
        <v>148</v>
      </c>
      <c r="AC125" s="63" t="s">
        <v>90</v>
      </c>
      <c r="AD125" s="122" t="s">
        <v>90</v>
      </c>
      <c r="AE125" s="53" t="s">
        <v>89</v>
      </c>
      <c r="AF125" s="53" t="s">
        <v>89</v>
      </c>
      <c r="AG125" s="122" t="s">
        <v>90</v>
      </c>
      <c r="AH125" s="122" t="s">
        <v>90</v>
      </c>
      <c r="AI125" s="150">
        <f>P140</f>
        <v>0</v>
      </c>
      <c r="AJ125" s="63">
        <f>AK125+AL125+AN125</f>
        <v>0</v>
      </c>
      <c r="AK125" s="80"/>
      <c r="AL125" s="122">
        <f>AS125+AU125+AX125+BA125+BB125</f>
        <v>0</v>
      </c>
      <c r="AM125" s="122"/>
      <c r="AN125" s="122"/>
      <c r="AO125" s="64"/>
      <c r="AP125" s="80"/>
      <c r="AQ125" s="80"/>
      <c r="AR125" s="80"/>
      <c r="AS125" s="80"/>
      <c r="AT125" s="122"/>
      <c r="AU125" s="122"/>
      <c r="AV125" s="122"/>
      <c r="AW125" s="122"/>
      <c r="AX125" s="53">
        <f t="shared" si="42"/>
        <v>0</v>
      </c>
      <c r="AY125" s="53">
        <f>AI125</f>
        <v>0</v>
      </c>
      <c r="AZ125" s="137"/>
      <c r="BA125" s="80"/>
      <c r="BB125" s="122">
        <f>AI125-AX125</f>
        <v>0</v>
      </c>
      <c r="BC125" s="122"/>
    </row>
    <row r="126" spans="1:55" ht="16.899999999999999" customHeight="1" x14ac:dyDescent="0.2">
      <c r="A126" s="231" t="s">
        <v>317</v>
      </c>
      <c r="B126" s="55"/>
      <c r="C126" s="282">
        <v>227001</v>
      </c>
      <c r="D126" s="116"/>
      <c r="E126" s="57"/>
      <c r="F126" s="57"/>
      <c r="G126" s="57"/>
      <c r="H126" s="57"/>
      <c r="I126" s="57"/>
      <c r="J126" s="57"/>
      <c r="K126" s="57"/>
      <c r="L126" s="57"/>
      <c r="M126" s="57"/>
      <c r="N126" s="57"/>
      <c r="O126" s="57"/>
      <c r="P126" s="57"/>
      <c r="Q126" s="153"/>
      <c r="X126" s="35">
        <v>100</v>
      </c>
      <c r="Y126" s="103" t="s">
        <v>146</v>
      </c>
      <c r="Z126" s="84" t="s">
        <v>147</v>
      </c>
      <c r="AA126" s="85"/>
      <c r="AB126" s="85" t="s">
        <v>148</v>
      </c>
      <c r="AC126" s="63" t="s">
        <v>90</v>
      </c>
      <c r="AD126" s="122" t="s">
        <v>90</v>
      </c>
      <c r="AE126" s="53" t="s">
        <v>89</v>
      </c>
      <c r="AF126" s="53" t="s">
        <v>89</v>
      </c>
      <c r="AG126" s="122" t="s">
        <v>90</v>
      </c>
      <c r="AH126" s="122" t="s">
        <v>90</v>
      </c>
      <c r="AI126" s="150"/>
      <c r="AJ126" s="63">
        <f>AK126+AL126+AN126</f>
        <v>0</v>
      </c>
      <c r="AK126" s="80"/>
      <c r="AL126" s="122">
        <f>AS126+AU126+AX126+BA126+BB126</f>
        <v>0</v>
      </c>
      <c r="AM126" s="122"/>
      <c r="AN126" s="122"/>
      <c r="AO126" s="64"/>
      <c r="AP126" s="80"/>
      <c r="AQ126" s="80"/>
      <c r="AR126" s="80"/>
      <c r="AS126" s="80"/>
      <c r="AT126" s="122"/>
      <c r="AU126" s="122"/>
      <c r="AV126" s="122"/>
      <c r="AW126" s="122"/>
      <c r="AX126" s="53">
        <f t="shared" si="42"/>
        <v>0</v>
      </c>
      <c r="AY126" s="53">
        <f>AI126</f>
        <v>0</v>
      </c>
      <c r="AZ126" s="137"/>
      <c r="BA126" s="80"/>
      <c r="BB126" s="122">
        <f>AI126-AX126</f>
        <v>0</v>
      </c>
      <c r="BC126" s="122"/>
    </row>
    <row r="127" spans="1:55" ht="34.15" customHeight="1" x14ac:dyDescent="0.2">
      <c r="A127" s="231" t="s">
        <v>347</v>
      </c>
      <c r="B127" s="55"/>
      <c r="C127" s="282">
        <v>227002</v>
      </c>
      <c r="D127" s="116"/>
      <c r="E127" s="57"/>
      <c r="F127" s="57"/>
      <c r="G127" s="57"/>
      <c r="H127" s="57"/>
      <c r="I127" s="57"/>
      <c r="J127" s="57"/>
      <c r="K127" s="57"/>
      <c r="L127" s="57"/>
      <c r="M127" s="57"/>
      <c r="N127" s="57"/>
      <c r="O127" s="57"/>
      <c r="P127" s="57"/>
      <c r="Q127" s="153"/>
      <c r="X127" s="35">
        <v>101</v>
      </c>
      <c r="Y127" s="61" t="s">
        <v>151</v>
      </c>
      <c r="Z127" s="84" t="s">
        <v>152</v>
      </c>
      <c r="AA127" s="85"/>
      <c r="AB127" s="85" t="s">
        <v>148</v>
      </c>
      <c r="AC127" s="63" t="s">
        <v>90</v>
      </c>
      <c r="AD127" s="122" t="s">
        <v>90</v>
      </c>
      <c r="AE127" s="53" t="s">
        <v>89</v>
      </c>
      <c r="AF127" s="53" t="s">
        <v>89</v>
      </c>
      <c r="AG127" s="122" t="s">
        <v>90</v>
      </c>
      <c r="AH127" s="122" t="s">
        <v>90</v>
      </c>
      <c r="AI127" s="137">
        <f>P142</f>
        <v>231703.02</v>
      </c>
      <c r="AJ127" s="63">
        <f>AK127+AL127+AN127</f>
        <v>231703.02</v>
      </c>
      <c r="AK127" s="80"/>
      <c r="AL127" s="269">
        <f>AS127+AU127+AX127+BA127+BB127</f>
        <v>231703.02</v>
      </c>
      <c r="AM127" s="269"/>
      <c r="AN127" s="122"/>
      <c r="AO127" s="64"/>
      <c r="AP127" s="80"/>
      <c r="AQ127" s="80"/>
      <c r="AR127" s="80"/>
      <c r="AS127" s="80"/>
      <c r="AT127" s="122"/>
      <c r="AU127" s="122"/>
      <c r="AV127" s="122"/>
      <c r="AW127" s="122"/>
      <c r="AX127" s="53">
        <f t="shared" si="42"/>
        <v>181703.02</v>
      </c>
      <c r="AY127" s="53">
        <f>AI127-50000</f>
        <v>181703.02</v>
      </c>
      <c r="AZ127" s="80"/>
      <c r="BA127" s="80"/>
      <c r="BB127" s="269">
        <f>AI127-AX127</f>
        <v>50000</v>
      </c>
      <c r="BC127" s="122"/>
    </row>
    <row r="128" spans="1:55" ht="22.9" customHeight="1" x14ac:dyDescent="0.2">
      <c r="A128" s="111" t="s">
        <v>348</v>
      </c>
      <c r="B128" s="67">
        <v>290</v>
      </c>
      <c r="C128" s="287"/>
      <c r="D128" s="50"/>
      <c r="E128" s="51"/>
      <c r="F128" s="51"/>
      <c r="G128" s="51"/>
      <c r="H128" s="51"/>
      <c r="I128" s="51"/>
      <c r="J128" s="51"/>
      <c r="K128" s="51"/>
      <c r="L128" s="51"/>
      <c r="M128" s="51"/>
      <c r="N128" s="51"/>
      <c r="O128" s="51"/>
      <c r="P128" s="52">
        <f>SUM(P129:P137)</f>
        <v>2199342</v>
      </c>
      <c r="Q128" s="153"/>
      <c r="X128" s="94">
        <v>102</v>
      </c>
      <c r="Y128" s="112" t="s">
        <v>349</v>
      </c>
      <c r="Z128" s="96"/>
      <c r="AA128" s="97"/>
      <c r="AB128" s="97"/>
      <c r="AC128" s="208" t="s">
        <v>90</v>
      </c>
      <c r="AD128" s="208" t="s">
        <v>90</v>
      </c>
      <c r="AE128" s="208" t="s">
        <v>89</v>
      </c>
      <c r="AF128" s="208" t="s">
        <v>89</v>
      </c>
      <c r="AG128" s="208" t="s">
        <v>90</v>
      </c>
      <c r="AH128" s="208" t="s">
        <v>90</v>
      </c>
      <c r="AI128" s="208">
        <f>SUM(AI129)</f>
        <v>20229.400000000001</v>
      </c>
      <c r="AJ128" s="208">
        <f>AJ129</f>
        <v>20229.400000000001</v>
      </c>
      <c r="AK128" s="80">
        <f t="shared" ref="AK128:BC128" si="45">AK129</f>
        <v>0</v>
      </c>
      <c r="AL128" s="208">
        <f t="shared" si="45"/>
        <v>20229.400000000001</v>
      </c>
      <c r="AM128" s="208"/>
      <c r="AN128" s="208">
        <f t="shared" si="45"/>
        <v>0</v>
      </c>
      <c r="AO128" s="64">
        <f t="shared" si="45"/>
        <v>0</v>
      </c>
      <c r="AP128" s="80">
        <f t="shared" si="45"/>
        <v>0</v>
      </c>
      <c r="AQ128" s="80"/>
      <c r="AR128" s="80"/>
      <c r="AS128" s="80">
        <f t="shared" si="45"/>
        <v>0</v>
      </c>
      <c r="AT128" s="209">
        <f t="shared" si="45"/>
        <v>0</v>
      </c>
      <c r="AU128" s="209">
        <f t="shared" si="45"/>
        <v>0</v>
      </c>
      <c r="AV128" s="209"/>
      <c r="AW128" s="209">
        <f t="shared" si="45"/>
        <v>0</v>
      </c>
      <c r="AX128" s="209">
        <f t="shared" si="45"/>
        <v>20229.400000000001</v>
      </c>
      <c r="AY128" s="209">
        <f t="shared" si="45"/>
        <v>20229.400000000001</v>
      </c>
      <c r="AZ128" s="209">
        <f t="shared" si="45"/>
        <v>0</v>
      </c>
      <c r="BA128" s="80">
        <f t="shared" si="45"/>
        <v>0</v>
      </c>
      <c r="BB128" s="209">
        <f t="shared" si="45"/>
        <v>0</v>
      </c>
      <c r="BC128" s="208">
        <f t="shared" si="45"/>
        <v>0</v>
      </c>
    </row>
    <row r="129" spans="1:55" ht="19.149999999999999" customHeight="1" x14ac:dyDescent="0.2">
      <c r="A129" s="115" t="s">
        <v>350</v>
      </c>
      <c r="B129" s="55"/>
      <c r="C129" s="282">
        <v>290001</v>
      </c>
      <c r="D129" s="116"/>
      <c r="E129" s="288"/>
      <c r="F129" s="58"/>
      <c r="G129" s="58"/>
      <c r="H129" s="58"/>
      <c r="I129" s="58">
        <f>ROUND(E129*G129*1000/100,0)</f>
        <v>0</v>
      </c>
      <c r="J129" s="57"/>
      <c r="K129" s="57"/>
      <c r="L129" s="57"/>
      <c r="M129" s="57"/>
      <c r="N129" s="57"/>
      <c r="O129" s="57"/>
      <c r="P129" s="126">
        <v>1329030</v>
      </c>
      <c r="Q129" s="153"/>
      <c r="X129" s="35">
        <v>103</v>
      </c>
      <c r="Y129" s="103" t="s">
        <v>351</v>
      </c>
      <c r="Z129" s="36" t="s">
        <v>352</v>
      </c>
      <c r="AA129" s="121"/>
      <c r="AB129" s="121" t="s">
        <v>353</v>
      </c>
      <c r="AC129" s="63" t="s">
        <v>90</v>
      </c>
      <c r="AD129" s="122" t="s">
        <v>90</v>
      </c>
      <c r="AE129" s="53" t="s">
        <v>89</v>
      </c>
      <c r="AF129" s="53" t="s">
        <v>89</v>
      </c>
      <c r="AG129" s="122" t="s">
        <v>90</v>
      </c>
      <c r="AH129" s="122" t="s">
        <v>90</v>
      </c>
      <c r="AI129" s="150">
        <f>P145</f>
        <v>20229.400000000001</v>
      </c>
      <c r="AJ129" s="170">
        <f>AK129+AL129+AN129</f>
        <v>20229.400000000001</v>
      </c>
      <c r="AK129" s="145"/>
      <c r="AL129" s="122">
        <f>AS129+AU129+AX129+BA129+BB129</f>
        <v>20229.400000000001</v>
      </c>
      <c r="AM129" s="122"/>
      <c r="AN129" s="122"/>
      <c r="AO129" s="213"/>
      <c r="AP129" s="145"/>
      <c r="AQ129" s="145"/>
      <c r="AR129" s="145"/>
      <c r="AS129" s="145"/>
      <c r="AT129" s="122"/>
      <c r="AU129" s="122"/>
      <c r="AV129" s="122"/>
      <c r="AW129" s="122"/>
      <c r="AX129" s="184">
        <f t="shared" si="42"/>
        <v>20229.400000000001</v>
      </c>
      <c r="AY129" s="184">
        <f>AI129</f>
        <v>20229.400000000001</v>
      </c>
      <c r="AZ129" s="150"/>
      <c r="BA129" s="145"/>
      <c r="BB129" s="122">
        <f>AI129-AX129</f>
        <v>0</v>
      </c>
      <c r="BC129" s="122"/>
    </row>
    <row r="130" spans="1:55" ht="15.6" customHeight="1" x14ac:dyDescent="0.2">
      <c r="A130" s="115" t="s">
        <v>216</v>
      </c>
      <c r="B130" s="55"/>
      <c r="C130" s="282" t="s">
        <v>354</v>
      </c>
      <c r="D130" s="116"/>
      <c r="E130" s="57"/>
      <c r="F130" s="57"/>
      <c r="G130" s="57"/>
      <c r="H130" s="57"/>
      <c r="I130" s="57"/>
      <c r="J130" s="57"/>
      <c r="K130" s="57"/>
      <c r="L130" s="57"/>
      <c r="M130" s="57"/>
      <c r="N130" s="57"/>
      <c r="O130" s="57"/>
      <c r="P130" s="140"/>
      <c r="Q130" s="153"/>
      <c r="X130" s="94">
        <v>104</v>
      </c>
      <c r="Y130" s="112" t="s">
        <v>355</v>
      </c>
      <c r="Z130" s="96"/>
      <c r="AA130" s="97"/>
      <c r="AB130" s="97"/>
      <c r="AC130" s="208" t="s">
        <v>90</v>
      </c>
      <c r="AD130" s="208" t="s">
        <v>90</v>
      </c>
      <c r="AE130" s="208" t="s">
        <v>90</v>
      </c>
      <c r="AF130" s="208" t="s">
        <v>90</v>
      </c>
      <c r="AG130" s="208" t="s">
        <v>90</v>
      </c>
      <c r="AH130" s="208" t="s">
        <v>90</v>
      </c>
      <c r="AI130" s="208">
        <f>SUM(AI131:AI132)</f>
        <v>53171</v>
      </c>
      <c r="AJ130" s="208">
        <f>SUM(AJ131:AJ132)</f>
        <v>53171</v>
      </c>
      <c r="AK130" s="80">
        <f t="shared" ref="AK130:BC130" si="46">SUM(AK131:AK132)</f>
        <v>0</v>
      </c>
      <c r="AL130" s="208">
        <f t="shared" si="46"/>
        <v>53171</v>
      </c>
      <c r="AM130" s="208"/>
      <c r="AN130" s="208">
        <f t="shared" si="46"/>
        <v>0</v>
      </c>
      <c r="AO130" s="64">
        <f t="shared" si="46"/>
        <v>0</v>
      </c>
      <c r="AP130" s="80">
        <f t="shared" si="46"/>
        <v>0</v>
      </c>
      <c r="AQ130" s="80"/>
      <c r="AR130" s="80"/>
      <c r="AS130" s="80">
        <f t="shared" si="46"/>
        <v>0</v>
      </c>
      <c r="AT130" s="209">
        <f t="shared" si="46"/>
        <v>0</v>
      </c>
      <c r="AU130" s="209">
        <f t="shared" si="46"/>
        <v>0</v>
      </c>
      <c r="AV130" s="209"/>
      <c r="AW130" s="209">
        <f t="shared" si="46"/>
        <v>0</v>
      </c>
      <c r="AX130" s="278">
        <f t="shared" si="46"/>
        <v>53171</v>
      </c>
      <c r="AY130" s="278">
        <f t="shared" si="46"/>
        <v>53171</v>
      </c>
      <c r="AZ130" s="278">
        <f t="shared" si="46"/>
        <v>0</v>
      </c>
      <c r="BA130" s="80">
        <f t="shared" si="46"/>
        <v>0</v>
      </c>
      <c r="BB130" s="278">
        <f t="shared" si="46"/>
        <v>0</v>
      </c>
      <c r="BC130" s="208">
        <f t="shared" si="46"/>
        <v>0</v>
      </c>
    </row>
    <row r="131" spans="1:55" ht="28.9" customHeight="1" x14ac:dyDescent="0.2">
      <c r="A131" s="115" t="s">
        <v>356</v>
      </c>
      <c r="B131" s="55"/>
      <c r="C131" s="282" t="s">
        <v>357</v>
      </c>
      <c r="D131" s="116"/>
      <c r="E131" s="57"/>
      <c r="F131" s="57"/>
      <c r="G131" s="57"/>
      <c r="H131" s="57"/>
      <c r="I131" s="57"/>
      <c r="J131" s="57"/>
      <c r="K131" s="57"/>
      <c r="L131" s="57"/>
      <c r="M131" s="57"/>
      <c r="N131" s="57"/>
      <c r="O131" s="57"/>
      <c r="P131" s="140"/>
      <c r="Q131" s="153"/>
      <c r="X131" s="35">
        <v>105</v>
      </c>
      <c r="Y131" s="103" t="s">
        <v>358</v>
      </c>
      <c r="Z131" s="84" t="s">
        <v>359</v>
      </c>
      <c r="AA131" s="85"/>
      <c r="AB131" s="85" t="s">
        <v>360</v>
      </c>
      <c r="AC131" s="63" t="s">
        <v>90</v>
      </c>
      <c r="AD131" s="122" t="s">
        <v>90</v>
      </c>
      <c r="AE131" s="53" t="s">
        <v>89</v>
      </c>
      <c r="AF131" s="53" t="s">
        <v>89</v>
      </c>
      <c r="AG131" s="122" t="s">
        <v>90</v>
      </c>
      <c r="AH131" s="122" t="s">
        <v>90</v>
      </c>
      <c r="AI131" s="150"/>
      <c r="AJ131" s="63">
        <f>AK131+AL131+AN131</f>
        <v>0</v>
      </c>
      <c r="AK131" s="80"/>
      <c r="AL131" s="122">
        <f>AS131+AU131+AX131+BA131+BB131</f>
        <v>0</v>
      </c>
      <c r="AM131" s="122"/>
      <c r="AN131" s="122"/>
      <c r="AO131" s="64"/>
      <c r="AP131" s="80"/>
      <c r="AQ131" s="80"/>
      <c r="AR131" s="80"/>
      <c r="AS131" s="80"/>
      <c r="AT131" s="122"/>
      <c r="AU131" s="122"/>
      <c r="AV131" s="122"/>
      <c r="AW131" s="122"/>
      <c r="AX131" s="80"/>
      <c r="AY131" s="80"/>
      <c r="AZ131" s="80"/>
      <c r="BA131" s="80"/>
      <c r="BB131" s="122">
        <f>AI131-AX131</f>
        <v>0</v>
      </c>
      <c r="BC131" s="122"/>
    </row>
    <row r="132" spans="1:55" ht="27" customHeight="1" x14ac:dyDescent="0.2">
      <c r="A132" s="115" t="s">
        <v>361</v>
      </c>
      <c r="B132" s="55"/>
      <c r="C132" s="282" t="s">
        <v>362</v>
      </c>
      <c r="D132" s="116"/>
      <c r="E132" s="57"/>
      <c r="F132" s="57"/>
      <c r="G132" s="57"/>
      <c r="H132" s="57"/>
      <c r="I132" s="57"/>
      <c r="J132" s="57"/>
      <c r="K132" s="57"/>
      <c r="L132" s="57"/>
      <c r="M132" s="57"/>
      <c r="N132" s="57"/>
      <c r="O132" s="57"/>
      <c r="P132" s="140"/>
      <c r="Q132" s="153"/>
      <c r="X132" s="35">
        <v>106</v>
      </c>
      <c r="Y132" s="289" t="s">
        <v>363</v>
      </c>
      <c r="Z132" s="290" t="s">
        <v>364</v>
      </c>
      <c r="AA132" s="85"/>
      <c r="AB132" s="85" t="s">
        <v>360</v>
      </c>
      <c r="AC132" s="63" t="s">
        <v>90</v>
      </c>
      <c r="AD132" s="122" t="s">
        <v>90</v>
      </c>
      <c r="AE132" s="53" t="s">
        <v>89</v>
      </c>
      <c r="AF132" s="53" t="s">
        <v>89</v>
      </c>
      <c r="AG132" s="122" t="s">
        <v>90</v>
      </c>
      <c r="AH132" s="122" t="s">
        <v>90</v>
      </c>
      <c r="AI132" s="150">
        <f>P165</f>
        <v>53171</v>
      </c>
      <c r="AJ132" s="63">
        <f>AK132+AL132+AN132</f>
        <v>53171</v>
      </c>
      <c r="AK132" s="80"/>
      <c r="AL132" s="122">
        <f>AS132+AU132+AX132+BA132+BB132</f>
        <v>53171</v>
      </c>
      <c r="AM132" s="122"/>
      <c r="AN132" s="122"/>
      <c r="AO132" s="64"/>
      <c r="AP132" s="80"/>
      <c r="AQ132" s="80"/>
      <c r="AR132" s="80"/>
      <c r="AS132" s="80"/>
      <c r="AT132" s="122"/>
      <c r="AU132" s="122"/>
      <c r="AV132" s="122"/>
      <c r="AW132" s="122"/>
      <c r="AX132" s="80">
        <f>AY132</f>
        <v>53171</v>
      </c>
      <c r="AY132" s="80">
        <f>AI132</f>
        <v>53171</v>
      </c>
      <c r="AZ132" s="80"/>
      <c r="BA132" s="80"/>
      <c r="BB132" s="122">
        <f>AI132-AX132</f>
        <v>0</v>
      </c>
      <c r="BC132" s="122"/>
    </row>
    <row r="133" spans="1:55" ht="27" customHeight="1" x14ac:dyDescent="0.2">
      <c r="A133" s="115" t="s">
        <v>365</v>
      </c>
      <c r="B133" s="55"/>
      <c r="C133" s="282" t="s">
        <v>366</v>
      </c>
      <c r="D133" s="116"/>
      <c r="E133" s="57"/>
      <c r="F133" s="57"/>
      <c r="G133" s="57"/>
      <c r="H133" s="57"/>
      <c r="I133" s="57"/>
      <c r="J133" s="57"/>
      <c r="K133" s="57"/>
      <c r="L133" s="57"/>
      <c r="M133" s="57"/>
      <c r="N133" s="57"/>
      <c r="O133" s="57"/>
      <c r="P133" s="140"/>
      <c r="Q133" s="153"/>
      <c r="X133" s="94">
        <v>107</v>
      </c>
      <c r="Y133" s="112" t="s">
        <v>367</v>
      </c>
      <c r="Z133" s="96"/>
      <c r="AA133" s="113"/>
      <c r="AB133" s="113"/>
      <c r="AC133" s="208" t="s">
        <v>90</v>
      </c>
      <c r="AD133" s="208" t="s">
        <v>90</v>
      </c>
      <c r="AE133" s="208" t="s">
        <v>90</v>
      </c>
      <c r="AF133" s="208" t="s">
        <v>90</v>
      </c>
      <c r="AG133" s="208" t="s">
        <v>90</v>
      </c>
      <c r="AH133" s="208" t="s">
        <v>90</v>
      </c>
      <c r="AI133" s="208"/>
      <c r="AJ133" s="208">
        <f>SUM(AJ134:AJ135)</f>
        <v>0</v>
      </c>
      <c r="AK133" s="80">
        <v>0</v>
      </c>
      <c r="AL133" s="208">
        <v>0</v>
      </c>
      <c r="AM133" s="208"/>
      <c r="AN133" s="208">
        <v>0</v>
      </c>
      <c r="AO133" s="64">
        <v>0</v>
      </c>
      <c r="AP133" s="80">
        <v>0</v>
      </c>
      <c r="AQ133" s="80"/>
      <c r="AR133" s="80"/>
      <c r="AS133" s="80">
        <v>0</v>
      </c>
      <c r="AT133" s="209">
        <v>0</v>
      </c>
      <c r="AU133" s="209">
        <v>0</v>
      </c>
      <c r="AV133" s="209"/>
      <c r="AW133" s="209">
        <v>0</v>
      </c>
      <c r="AX133" s="209">
        <v>0</v>
      </c>
      <c r="AY133" s="208">
        <v>0</v>
      </c>
      <c r="AZ133" s="278">
        <v>0</v>
      </c>
      <c r="BA133" s="80">
        <v>0</v>
      </c>
      <c r="BB133" s="278">
        <v>0</v>
      </c>
      <c r="BC133" s="208">
        <v>0</v>
      </c>
    </row>
    <row r="134" spans="1:55" ht="62.45" customHeight="1" x14ac:dyDescent="0.2">
      <c r="A134" s="115" t="s">
        <v>368</v>
      </c>
      <c r="B134" s="55"/>
      <c r="C134" s="282" t="s">
        <v>158</v>
      </c>
      <c r="D134" s="116"/>
      <c r="E134" s="57"/>
      <c r="F134" s="57"/>
      <c r="G134" s="57"/>
      <c r="H134" s="57"/>
      <c r="I134" s="57"/>
      <c r="J134" s="57"/>
      <c r="K134" s="57"/>
      <c r="L134" s="57"/>
      <c r="M134" s="57"/>
      <c r="N134" s="57"/>
      <c r="O134" s="57"/>
      <c r="P134" s="140"/>
      <c r="Q134" s="153"/>
      <c r="X134" s="35">
        <v>108</v>
      </c>
      <c r="Y134" s="61" t="s">
        <v>369</v>
      </c>
      <c r="Z134" s="84" t="s">
        <v>370</v>
      </c>
      <c r="AA134" s="85"/>
      <c r="AB134" s="85" t="s">
        <v>371</v>
      </c>
      <c r="AC134" s="63" t="s">
        <v>90</v>
      </c>
      <c r="AD134" s="122" t="s">
        <v>90</v>
      </c>
      <c r="AE134" s="53" t="s">
        <v>89</v>
      </c>
      <c r="AF134" s="53" t="s">
        <v>89</v>
      </c>
      <c r="AG134" s="122" t="s">
        <v>90</v>
      </c>
      <c r="AH134" s="122" t="s">
        <v>90</v>
      </c>
      <c r="AI134" s="150"/>
      <c r="AJ134" s="63">
        <f>AK134+AL134+AN134</f>
        <v>0</v>
      </c>
      <c r="AK134" s="80"/>
      <c r="AL134" s="122">
        <f>AS134+AU134+AX134+BA134+BB134</f>
        <v>0</v>
      </c>
      <c r="AM134" s="122"/>
      <c r="AN134" s="122"/>
      <c r="AO134" s="64"/>
      <c r="AP134" s="80"/>
      <c r="AQ134" s="80"/>
      <c r="AR134" s="80"/>
      <c r="AS134" s="80"/>
      <c r="AT134" s="122"/>
      <c r="AU134" s="122"/>
      <c r="AV134" s="122"/>
      <c r="AW134" s="122"/>
      <c r="AX134" s="53">
        <f>AY134</f>
        <v>0</v>
      </c>
      <c r="AY134" s="53">
        <f>AI134</f>
        <v>0</v>
      </c>
      <c r="AZ134" s="137"/>
      <c r="BA134" s="80"/>
      <c r="BB134" s="122">
        <f>AI134-AX134</f>
        <v>0</v>
      </c>
      <c r="BC134" s="122"/>
    </row>
    <row r="135" spans="1:55" ht="16.899999999999999" customHeight="1" x14ac:dyDescent="0.2">
      <c r="A135" s="115" t="s">
        <v>372</v>
      </c>
      <c r="B135" s="55"/>
      <c r="C135" s="282">
        <v>290014</v>
      </c>
      <c r="D135" s="116"/>
      <c r="E135" s="57"/>
      <c r="F135" s="57"/>
      <c r="G135" s="57"/>
      <c r="H135" s="57"/>
      <c r="I135" s="57"/>
      <c r="J135" s="57"/>
      <c r="K135" s="57"/>
      <c r="L135" s="57"/>
      <c r="M135" s="57"/>
      <c r="N135" s="57"/>
      <c r="O135" s="57"/>
      <c r="P135" s="126">
        <v>870312</v>
      </c>
      <c r="Q135" s="153"/>
      <c r="X135" s="35">
        <v>109</v>
      </c>
      <c r="Y135" s="61" t="s">
        <v>373</v>
      </c>
      <c r="Z135" s="84" t="s">
        <v>374</v>
      </c>
      <c r="AA135" s="85"/>
      <c r="AB135" s="85" t="s">
        <v>371</v>
      </c>
      <c r="AC135" s="63" t="s">
        <v>90</v>
      </c>
      <c r="AD135" s="122" t="s">
        <v>90</v>
      </c>
      <c r="AE135" s="53" t="s">
        <v>89</v>
      </c>
      <c r="AF135" s="53" t="s">
        <v>89</v>
      </c>
      <c r="AG135" s="122" t="s">
        <v>90</v>
      </c>
      <c r="AH135" s="122" t="s">
        <v>90</v>
      </c>
      <c r="AI135" s="150">
        <f>P152</f>
        <v>0</v>
      </c>
      <c r="AJ135" s="63">
        <f>AK135+AL135+AN135</f>
        <v>0</v>
      </c>
      <c r="AK135" s="80"/>
      <c r="AL135" s="122">
        <f>AS135+AU135+AX135+BA135+BB135</f>
        <v>0</v>
      </c>
      <c r="AM135" s="122"/>
      <c r="AN135" s="122"/>
      <c r="AO135" s="64"/>
      <c r="AP135" s="80"/>
      <c r="AQ135" s="80"/>
      <c r="AR135" s="80"/>
      <c r="AS135" s="80"/>
      <c r="AT135" s="122"/>
      <c r="AU135" s="122"/>
      <c r="AV135" s="122"/>
      <c r="AW135" s="122"/>
      <c r="AX135" s="53">
        <f>AY135</f>
        <v>0</v>
      </c>
      <c r="AY135" s="53">
        <f>AI135</f>
        <v>0</v>
      </c>
      <c r="AZ135" s="137"/>
      <c r="BA135" s="80"/>
      <c r="BB135" s="122">
        <f>AI135-AX135</f>
        <v>0</v>
      </c>
      <c r="BC135" s="122"/>
    </row>
    <row r="136" spans="1:55" ht="16.899999999999999" customHeight="1" x14ac:dyDescent="0.2">
      <c r="A136" s="291" t="s">
        <v>375</v>
      </c>
      <c r="B136" s="55"/>
      <c r="C136" s="282">
        <v>290021</v>
      </c>
      <c r="D136" s="116"/>
      <c r="E136" s="57"/>
      <c r="F136" s="57"/>
      <c r="G136" s="57"/>
      <c r="H136" s="57"/>
      <c r="I136" s="57"/>
      <c r="J136" s="57"/>
      <c r="K136" s="57"/>
      <c r="L136" s="57"/>
      <c r="M136" s="57"/>
      <c r="N136" s="57"/>
      <c r="O136" s="57"/>
      <c r="P136" s="140"/>
      <c r="Q136" s="153"/>
      <c r="X136" s="94">
        <v>110</v>
      </c>
      <c r="Y136" s="112" t="s">
        <v>135</v>
      </c>
      <c r="Z136" s="96"/>
      <c r="AA136" s="113"/>
      <c r="AB136" s="113"/>
      <c r="AC136" s="208" t="s">
        <v>90</v>
      </c>
      <c r="AD136" s="208" t="s">
        <v>90</v>
      </c>
      <c r="AE136" s="208" t="s">
        <v>89</v>
      </c>
      <c r="AF136" s="208" t="s">
        <v>89</v>
      </c>
      <c r="AG136" s="208" t="s">
        <v>90</v>
      </c>
      <c r="AH136" s="208" t="s">
        <v>90</v>
      </c>
      <c r="AI136" s="208"/>
      <c r="AJ136" s="208">
        <f>AJ137</f>
        <v>0</v>
      </c>
      <c r="AK136" s="80">
        <f t="shared" ref="AK136:BC136" si="47">AK137</f>
        <v>0</v>
      </c>
      <c r="AL136" s="208">
        <f t="shared" si="47"/>
        <v>0</v>
      </c>
      <c r="AM136" s="208"/>
      <c r="AN136" s="208">
        <f t="shared" si="47"/>
        <v>0</v>
      </c>
      <c r="AO136" s="64">
        <f t="shared" si="47"/>
        <v>0</v>
      </c>
      <c r="AP136" s="80">
        <f t="shared" si="47"/>
        <v>0</v>
      </c>
      <c r="AQ136" s="80"/>
      <c r="AR136" s="80"/>
      <c r="AS136" s="80">
        <f t="shared" si="47"/>
        <v>0</v>
      </c>
      <c r="AT136" s="209">
        <f t="shared" si="47"/>
        <v>0</v>
      </c>
      <c r="AU136" s="209">
        <f t="shared" si="47"/>
        <v>0</v>
      </c>
      <c r="AV136" s="209"/>
      <c r="AW136" s="209">
        <f t="shared" si="47"/>
        <v>0</v>
      </c>
      <c r="AX136" s="209">
        <f t="shared" si="47"/>
        <v>0</v>
      </c>
      <c r="AY136" s="209">
        <f t="shared" si="47"/>
        <v>0</v>
      </c>
      <c r="AZ136" s="278">
        <f t="shared" si="47"/>
        <v>0</v>
      </c>
      <c r="BA136" s="80">
        <f t="shared" si="47"/>
        <v>0</v>
      </c>
      <c r="BB136" s="278">
        <f t="shared" si="47"/>
        <v>0</v>
      </c>
      <c r="BC136" s="208">
        <f t="shared" si="47"/>
        <v>0</v>
      </c>
    </row>
    <row r="137" spans="1:55" ht="16.899999999999999" customHeight="1" x14ac:dyDescent="0.2">
      <c r="A137" s="115" t="s">
        <v>376</v>
      </c>
      <c r="B137" s="55"/>
      <c r="C137" s="282" t="s">
        <v>377</v>
      </c>
      <c r="D137" s="116"/>
      <c r="E137" s="57"/>
      <c r="F137" s="57"/>
      <c r="G137" s="57"/>
      <c r="H137" s="57"/>
      <c r="I137" s="57"/>
      <c r="J137" s="57"/>
      <c r="K137" s="57"/>
      <c r="L137" s="57"/>
      <c r="M137" s="57"/>
      <c r="N137" s="57"/>
      <c r="O137" s="57"/>
      <c r="P137" s="140"/>
      <c r="Q137" s="153"/>
      <c r="X137" s="35">
        <v>111</v>
      </c>
      <c r="Y137" s="61" t="s">
        <v>138</v>
      </c>
      <c r="Z137" s="84" t="s">
        <v>139</v>
      </c>
      <c r="AA137" s="85"/>
      <c r="AB137" s="85" t="s">
        <v>140</v>
      </c>
      <c r="AC137" s="63" t="s">
        <v>90</v>
      </c>
      <c r="AD137" s="122" t="s">
        <v>90</v>
      </c>
      <c r="AE137" s="53" t="s">
        <v>89</v>
      </c>
      <c r="AF137" s="53" t="s">
        <v>89</v>
      </c>
      <c r="AG137" s="122" t="s">
        <v>90</v>
      </c>
      <c r="AH137" s="122" t="s">
        <v>90</v>
      </c>
      <c r="AI137" s="150"/>
      <c r="AJ137" s="63">
        <f>AK137+AL137+AN137</f>
        <v>0</v>
      </c>
      <c r="AK137" s="80"/>
      <c r="AL137" s="122">
        <f>AS137+AU137+AX137+BA137+BB137</f>
        <v>0</v>
      </c>
      <c r="AM137" s="122"/>
      <c r="AN137" s="122"/>
      <c r="AO137" s="64"/>
      <c r="AP137" s="80"/>
      <c r="AQ137" s="80"/>
      <c r="AR137" s="80"/>
      <c r="AS137" s="80"/>
      <c r="AT137" s="150"/>
      <c r="AU137" s="122"/>
      <c r="AV137" s="122"/>
      <c r="AW137" s="122"/>
      <c r="AX137" s="53">
        <f>AY137</f>
        <v>0</v>
      </c>
      <c r="AY137" s="53">
        <f>AI137</f>
        <v>0</v>
      </c>
      <c r="AZ137" s="80"/>
      <c r="BA137" s="80"/>
      <c r="BB137" s="122">
        <f>AI137-AX137</f>
        <v>0</v>
      </c>
      <c r="BC137" s="122"/>
    </row>
    <row r="138" spans="1:55" ht="33.6" customHeight="1" x14ac:dyDescent="0.2">
      <c r="A138" s="111" t="s">
        <v>378</v>
      </c>
      <c r="B138" s="67">
        <v>300</v>
      </c>
      <c r="C138" s="287"/>
      <c r="D138" s="50"/>
      <c r="E138" s="51"/>
      <c r="F138" s="51"/>
      <c r="G138" s="51"/>
      <c r="H138" s="51"/>
      <c r="I138" s="51"/>
      <c r="J138" s="51"/>
      <c r="K138" s="51"/>
      <c r="L138" s="51"/>
      <c r="M138" s="51"/>
      <c r="N138" s="51"/>
      <c r="O138" s="51"/>
      <c r="P138" s="52">
        <f>P139+P143</f>
        <v>609144.80000000005</v>
      </c>
      <c r="Q138" s="153"/>
      <c r="X138" s="94">
        <v>112</v>
      </c>
      <c r="Y138" s="112" t="s">
        <v>162</v>
      </c>
      <c r="Z138" s="96"/>
      <c r="AA138" s="113"/>
      <c r="AB138" s="113"/>
      <c r="AC138" s="208" t="s">
        <v>90</v>
      </c>
      <c r="AD138" s="208" t="s">
        <v>90</v>
      </c>
      <c r="AE138" s="208" t="s">
        <v>90</v>
      </c>
      <c r="AF138" s="208" t="s">
        <v>90</v>
      </c>
      <c r="AG138" s="208" t="s">
        <v>90</v>
      </c>
      <c r="AH138" s="208" t="s">
        <v>90</v>
      </c>
      <c r="AI138" s="208">
        <f>SUM(AI139:AI145)-AI144</f>
        <v>278041.38</v>
      </c>
      <c r="AJ138" s="208">
        <f>SUM(AJ139:AJ145)-AJ144</f>
        <v>278041.38</v>
      </c>
      <c r="AK138" s="80">
        <f>SUM(AK139:AK145)</f>
        <v>0</v>
      </c>
      <c r="AL138" s="208">
        <f>SUM(AL139:AL145)-AL144</f>
        <v>278041.38</v>
      </c>
      <c r="AM138" s="208"/>
      <c r="AN138" s="208">
        <f>SUM(AN139:AN145)-AN144</f>
        <v>0</v>
      </c>
      <c r="AO138" s="64">
        <f>SUM(AO139:AO145)</f>
        <v>0</v>
      </c>
      <c r="AP138" s="80">
        <f>SUM(AP139:AP145)</f>
        <v>0</v>
      </c>
      <c r="AQ138" s="80"/>
      <c r="AR138" s="80"/>
      <c r="AS138" s="80">
        <f>SUM(AS139:AS145)</f>
        <v>0</v>
      </c>
      <c r="AT138" s="208">
        <f t="shared" ref="AT138:BB138" si="48">SUM(AT139:AT145)-AT144</f>
        <v>0</v>
      </c>
      <c r="AU138" s="208">
        <f t="shared" si="48"/>
        <v>0</v>
      </c>
      <c r="AV138" s="208"/>
      <c r="AW138" s="208">
        <f t="shared" si="48"/>
        <v>0</v>
      </c>
      <c r="AX138" s="208">
        <f t="shared" si="48"/>
        <v>178041.37999999998</v>
      </c>
      <c r="AY138" s="208">
        <f t="shared" si="48"/>
        <v>178041.37999999998</v>
      </c>
      <c r="AZ138" s="208">
        <f t="shared" si="48"/>
        <v>0</v>
      </c>
      <c r="BA138" s="80">
        <f>SUM(BA139:BA145)</f>
        <v>0</v>
      </c>
      <c r="BB138" s="208">
        <f t="shared" si="48"/>
        <v>100000</v>
      </c>
      <c r="BC138" s="208">
        <f>SUM(BC139:BC145)-BC144</f>
        <v>0</v>
      </c>
    </row>
    <row r="139" spans="1:55" ht="33.6" customHeight="1" x14ac:dyDescent="0.2">
      <c r="A139" s="111" t="s">
        <v>379</v>
      </c>
      <c r="B139" s="67">
        <v>310</v>
      </c>
      <c r="C139" s="287"/>
      <c r="D139" s="50"/>
      <c r="E139" s="51"/>
      <c r="F139" s="51"/>
      <c r="G139" s="51"/>
      <c r="H139" s="51"/>
      <c r="I139" s="51"/>
      <c r="J139" s="51"/>
      <c r="K139" s="51"/>
      <c r="L139" s="51"/>
      <c r="M139" s="51"/>
      <c r="N139" s="51"/>
      <c r="O139" s="51"/>
      <c r="P139" s="52">
        <f>SUM(P140:P142)</f>
        <v>231703.02</v>
      </c>
      <c r="Q139" s="153"/>
      <c r="X139" s="35">
        <v>113</v>
      </c>
      <c r="Y139" s="61" t="s">
        <v>380</v>
      </c>
      <c r="Z139" s="84" t="s">
        <v>381</v>
      </c>
      <c r="AA139" s="85"/>
      <c r="AB139" s="85" t="s">
        <v>166</v>
      </c>
      <c r="AC139" s="63" t="s">
        <v>90</v>
      </c>
      <c r="AD139" s="122" t="s">
        <v>90</v>
      </c>
      <c r="AE139" s="53" t="s">
        <v>89</v>
      </c>
      <c r="AF139" s="53" t="s">
        <v>89</v>
      </c>
      <c r="AG139" s="122" t="s">
        <v>90</v>
      </c>
      <c r="AH139" s="122" t="s">
        <v>90</v>
      </c>
      <c r="AI139" s="150"/>
      <c r="AJ139" s="63">
        <f>AK139+AL139+AN139</f>
        <v>0</v>
      </c>
      <c r="AK139" s="80"/>
      <c r="AL139" s="122">
        <f t="shared" ref="AL139:AL145" si="49">AS139+AU139+AX139+BA139+BB139</f>
        <v>0</v>
      </c>
      <c r="AM139" s="122"/>
      <c r="AN139" s="122"/>
      <c r="AO139" s="64"/>
      <c r="AP139" s="80"/>
      <c r="AQ139" s="80"/>
      <c r="AR139" s="80"/>
      <c r="AS139" s="80"/>
      <c r="AT139" s="122"/>
      <c r="AU139" s="122"/>
      <c r="AV139" s="122"/>
      <c r="AW139" s="122"/>
      <c r="AX139" s="53">
        <f t="shared" ref="AX139:AX145" si="50">AY139</f>
        <v>0</v>
      </c>
      <c r="AY139" s="53">
        <f>AI139</f>
        <v>0</v>
      </c>
      <c r="AZ139" s="137"/>
      <c r="BA139" s="80"/>
      <c r="BB139" s="122">
        <f t="shared" ref="BB139:BB145" si="51">AI139-AX139</f>
        <v>0</v>
      </c>
      <c r="BC139" s="122"/>
    </row>
    <row r="140" spans="1:55" ht="22.15" customHeight="1" x14ac:dyDescent="0.25">
      <c r="A140" s="292" t="s">
        <v>345</v>
      </c>
      <c r="B140" s="293"/>
      <c r="C140" s="294" t="s">
        <v>346</v>
      </c>
      <c r="D140" s="295"/>
      <c r="E140" s="296"/>
      <c r="F140" s="58" t="s">
        <v>86</v>
      </c>
      <c r="G140" s="58"/>
      <c r="H140" s="58" t="s">
        <v>86</v>
      </c>
      <c r="I140" s="58"/>
      <c r="J140" s="58" t="s">
        <v>87</v>
      </c>
      <c r="K140" s="58">
        <f>ROUND(E140*G140*I140,2)</f>
        <v>0</v>
      </c>
      <c r="L140" s="57"/>
      <c r="M140" s="57"/>
      <c r="N140" s="57"/>
      <c r="O140" s="57"/>
      <c r="P140" s="60"/>
      <c r="Q140" s="153"/>
      <c r="X140" s="35">
        <v>114</v>
      </c>
      <c r="Y140" s="61" t="s">
        <v>164</v>
      </c>
      <c r="Z140" s="84" t="s">
        <v>165</v>
      </c>
      <c r="AA140" s="85"/>
      <c r="AB140" s="85" t="s">
        <v>166</v>
      </c>
      <c r="AC140" s="63" t="s">
        <v>90</v>
      </c>
      <c r="AD140" s="122" t="s">
        <v>90</v>
      </c>
      <c r="AE140" s="53" t="s">
        <v>89</v>
      </c>
      <c r="AF140" s="53" t="s">
        <v>89</v>
      </c>
      <c r="AG140" s="122" t="s">
        <v>90</v>
      </c>
      <c r="AH140" s="122" t="s">
        <v>90</v>
      </c>
      <c r="AI140" s="150"/>
      <c r="AJ140" s="63">
        <f t="shared" ref="AJ140:AJ145" si="52">AK140+AL140+AN140</f>
        <v>0</v>
      </c>
      <c r="AK140" s="80"/>
      <c r="AL140" s="122">
        <f>AS140+AU140+AX140+BA140+BB140</f>
        <v>0</v>
      </c>
      <c r="AM140" s="122"/>
      <c r="AN140" s="122"/>
      <c r="AO140" s="64"/>
      <c r="AP140" s="80"/>
      <c r="AQ140" s="80"/>
      <c r="AR140" s="80"/>
      <c r="AS140" s="80"/>
      <c r="AT140" s="122"/>
      <c r="AU140" s="122"/>
      <c r="AV140" s="122"/>
      <c r="AW140" s="122"/>
      <c r="AX140" s="53">
        <f t="shared" si="50"/>
        <v>0</v>
      </c>
      <c r="AY140" s="53">
        <f>AI140</f>
        <v>0</v>
      </c>
      <c r="AZ140" s="137"/>
      <c r="BA140" s="80"/>
      <c r="BB140" s="122">
        <f t="shared" si="51"/>
        <v>0</v>
      </c>
      <c r="BC140" s="122"/>
    </row>
    <row r="141" spans="1:55" ht="43.9" customHeight="1" x14ac:dyDescent="0.25">
      <c r="A141" s="297" t="s">
        <v>382</v>
      </c>
      <c r="B141" s="298"/>
      <c r="C141" s="294" t="s">
        <v>147</v>
      </c>
      <c r="D141" s="295"/>
      <c r="E141" s="57"/>
      <c r="F141" s="57"/>
      <c r="G141" s="57"/>
      <c r="H141" s="57"/>
      <c r="I141" s="57"/>
      <c r="J141" s="57"/>
      <c r="K141" s="57"/>
      <c r="L141" s="57"/>
      <c r="M141" s="57"/>
      <c r="N141" s="57"/>
      <c r="O141" s="57"/>
      <c r="P141" s="299"/>
      <c r="Q141" s="153"/>
      <c r="X141" s="35">
        <v>115</v>
      </c>
      <c r="Y141" s="61" t="s">
        <v>383</v>
      </c>
      <c r="Z141" s="84" t="s">
        <v>384</v>
      </c>
      <c r="AA141" s="85"/>
      <c r="AB141" s="85" t="s">
        <v>166</v>
      </c>
      <c r="AC141" s="63" t="s">
        <v>90</v>
      </c>
      <c r="AD141" s="122" t="s">
        <v>90</v>
      </c>
      <c r="AE141" s="53" t="s">
        <v>89</v>
      </c>
      <c r="AF141" s="53" t="s">
        <v>89</v>
      </c>
      <c r="AG141" s="122" t="s">
        <v>90</v>
      </c>
      <c r="AH141" s="122" t="s">
        <v>90</v>
      </c>
      <c r="AI141" s="150">
        <f>P158</f>
        <v>0</v>
      </c>
      <c r="AJ141" s="63">
        <f t="shared" si="52"/>
        <v>0</v>
      </c>
      <c r="AK141" s="80"/>
      <c r="AL141" s="122">
        <f t="shared" si="49"/>
        <v>0</v>
      </c>
      <c r="AM141" s="122"/>
      <c r="AN141" s="122"/>
      <c r="AO141" s="64"/>
      <c r="AP141" s="80"/>
      <c r="AQ141" s="80"/>
      <c r="AR141" s="80"/>
      <c r="AS141" s="80"/>
      <c r="AT141" s="122"/>
      <c r="AU141" s="122"/>
      <c r="AV141" s="122"/>
      <c r="AW141" s="122"/>
      <c r="AX141" s="53">
        <f t="shared" si="50"/>
        <v>0</v>
      </c>
      <c r="AY141" s="53">
        <f>AI141</f>
        <v>0</v>
      </c>
      <c r="AZ141" s="137"/>
      <c r="BA141" s="80"/>
      <c r="BB141" s="122">
        <f t="shared" si="51"/>
        <v>0</v>
      </c>
      <c r="BC141" s="122"/>
    </row>
    <row r="142" spans="1:55" ht="43.9" customHeight="1" x14ac:dyDescent="0.2">
      <c r="A142" s="300" t="s">
        <v>385</v>
      </c>
      <c r="B142" s="55"/>
      <c r="C142" s="301" t="s">
        <v>386</v>
      </c>
      <c r="D142" s="302"/>
      <c r="E142" s="303">
        <f>C5</f>
        <v>1801</v>
      </c>
      <c r="F142" s="58" t="s">
        <v>86</v>
      </c>
      <c r="G142" s="304">
        <v>110.07013771566068</v>
      </c>
      <c r="H142" s="58" t="s">
        <v>86</v>
      </c>
      <c r="I142" s="58">
        <v>1</v>
      </c>
      <c r="J142" s="58" t="s">
        <v>87</v>
      </c>
      <c r="K142" s="58">
        <f>ROUND(E142*G142,0)</f>
        <v>198236</v>
      </c>
      <c r="L142" s="305"/>
      <c r="M142" s="305"/>
      <c r="N142" s="305"/>
      <c r="O142" s="305"/>
      <c r="P142" s="220">
        <f>K142+33467.02</f>
        <v>231703.02</v>
      </c>
      <c r="Q142" s="153"/>
      <c r="X142" s="35">
        <v>116</v>
      </c>
      <c r="Y142" s="61" t="s">
        <v>387</v>
      </c>
      <c r="Z142" s="84" t="s">
        <v>388</v>
      </c>
      <c r="AA142" s="85"/>
      <c r="AB142" s="85" t="s">
        <v>166</v>
      </c>
      <c r="AC142" s="63" t="s">
        <v>90</v>
      </c>
      <c r="AD142" s="122" t="s">
        <v>90</v>
      </c>
      <c r="AE142" s="53" t="s">
        <v>89</v>
      </c>
      <c r="AF142" s="53" t="s">
        <v>89</v>
      </c>
      <c r="AG142" s="122" t="s">
        <v>90</v>
      </c>
      <c r="AH142" s="122" t="s">
        <v>90</v>
      </c>
      <c r="AI142" s="150"/>
      <c r="AJ142" s="63">
        <f t="shared" si="52"/>
        <v>0</v>
      </c>
      <c r="AK142" s="80"/>
      <c r="AL142" s="122">
        <f t="shared" si="49"/>
        <v>0</v>
      </c>
      <c r="AM142" s="122"/>
      <c r="AN142" s="122"/>
      <c r="AO142" s="64"/>
      <c r="AP142" s="80"/>
      <c r="AQ142" s="80"/>
      <c r="AR142" s="80"/>
      <c r="AS142" s="80"/>
      <c r="AT142" s="122"/>
      <c r="AU142" s="122"/>
      <c r="AV142" s="122"/>
      <c r="AW142" s="122"/>
      <c r="AX142" s="53">
        <f t="shared" si="50"/>
        <v>0</v>
      </c>
      <c r="AY142" s="53">
        <f>AI142</f>
        <v>0</v>
      </c>
      <c r="AZ142" s="137"/>
      <c r="BA142" s="80"/>
      <c r="BB142" s="122">
        <f t="shared" si="51"/>
        <v>0</v>
      </c>
      <c r="BC142" s="122"/>
    </row>
    <row r="143" spans="1:55" ht="32.450000000000003" customHeight="1" x14ac:dyDescent="0.2">
      <c r="A143" s="111" t="s">
        <v>389</v>
      </c>
      <c r="B143" s="67">
        <v>340</v>
      </c>
      <c r="C143" s="287"/>
      <c r="D143" s="50"/>
      <c r="E143" s="51"/>
      <c r="F143" s="51"/>
      <c r="G143" s="51"/>
      <c r="H143" s="51"/>
      <c r="I143" s="51"/>
      <c r="J143" s="51"/>
      <c r="K143" s="51"/>
      <c r="L143" s="51"/>
      <c r="M143" s="51"/>
      <c r="N143" s="51"/>
      <c r="O143" s="51"/>
      <c r="P143" s="306">
        <f>P144+P146+P149+P153+P166+P169+P171+P155</f>
        <v>377441.78</v>
      </c>
      <c r="Q143" s="153"/>
      <c r="X143" s="35">
        <v>117</v>
      </c>
      <c r="Y143" s="61" t="s">
        <v>169</v>
      </c>
      <c r="Z143" s="84" t="s">
        <v>170</v>
      </c>
      <c r="AA143" s="85"/>
      <c r="AB143" s="85" t="s">
        <v>166</v>
      </c>
      <c r="AC143" s="63" t="s">
        <v>90</v>
      </c>
      <c r="AD143" s="122" t="s">
        <v>90</v>
      </c>
      <c r="AE143" s="53" t="s">
        <v>89</v>
      </c>
      <c r="AF143" s="53" t="s">
        <v>89</v>
      </c>
      <c r="AG143" s="122" t="s">
        <v>90</v>
      </c>
      <c r="AH143" s="122" t="s">
        <v>90</v>
      </c>
      <c r="AI143" s="150">
        <f>P161</f>
        <v>168652.38</v>
      </c>
      <c r="AJ143" s="170">
        <f t="shared" si="52"/>
        <v>168652.38</v>
      </c>
      <c r="AK143" s="145"/>
      <c r="AL143" s="122">
        <f>AS143+AU143+AX143+BA143+BB143</f>
        <v>168652.38</v>
      </c>
      <c r="AM143" s="122"/>
      <c r="AN143" s="122"/>
      <c r="AO143" s="213"/>
      <c r="AP143" s="145"/>
      <c r="AQ143" s="145"/>
      <c r="AR143" s="145"/>
      <c r="AS143" s="145"/>
      <c r="AT143" s="122"/>
      <c r="AU143" s="122"/>
      <c r="AV143" s="122"/>
      <c r="AW143" s="122"/>
      <c r="AX143" s="184">
        <f t="shared" si="50"/>
        <v>118652.38</v>
      </c>
      <c r="AY143" s="184">
        <f>AI143-50000</f>
        <v>118652.38</v>
      </c>
      <c r="AZ143" s="150"/>
      <c r="BA143" s="145"/>
      <c r="BB143" s="122">
        <f t="shared" si="51"/>
        <v>50000</v>
      </c>
      <c r="BC143" s="122"/>
    </row>
    <row r="144" spans="1:55" ht="32.450000000000003" customHeight="1" x14ac:dyDescent="0.25">
      <c r="A144" s="307" t="s">
        <v>390</v>
      </c>
      <c r="B144" s="67"/>
      <c r="C144" s="287"/>
      <c r="D144" s="50"/>
      <c r="E144" s="51"/>
      <c r="F144" s="51"/>
      <c r="G144" s="51"/>
      <c r="H144" s="51"/>
      <c r="I144" s="51"/>
      <c r="J144" s="51"/>
      <c r="K144" s="51"/>
      <c r="L144" s="51"/>
      <c r="M144" s="51"/>
      <c r="N144" s="51"/>
      <c r="O144" s="51"/>
      <c r="P144" s="306">
        <f>P145</f>
        <v>20229.400000000001</v>
      </c>
      <c r="Q144" s="153"/>
      <c r="X144" s="35">
        <v>118</v>
      </c>
      <c r="Y144" s="103" t="s">
        <v>174</v>
      </c>
      <c r="Z144" s="84" t="s">
        <v>175</v>
      </c>
      <c r="AA144" s="85"/>
      <c r="AB144" s="85" t="s">
        <v>166</v>
      </c>
      <c r="AC144" s="63" t="s">
        <v>90</v>
      </c>
      <c r="AD144" s="122" t="s">
        <v>90</v>
      </c>
      <c r="AE144" s="53" t="s">
        <v>89</v>
      </c>
      <c r="AF144" s="53" t="s">
        <v>89</v>
      </c>
      <c r="AG144" s="122" t="s">
        <v>90</v>
      </c>
      <c r="AH144" s="122" t="s">
        <v>90</v>
      </c>
      <c r="AI144" s="150">
        <v>156477.35</v>
      </c>
      <c r="AJ144" s="170">
        <f t="shared" si="52"/>
        <v>156477.35</v>
      </c>
      <c r="AK144" s="145"/>
      <c r="AL144" s="122">
        <f t="shared" si="49"/>
        <v>156477.35</v>
      </c>
      <c r="AM144" s="122"/>
      <c r="AN144" s="122"/>
      <c r="AO144" s="213"/>
      <c r="AP144" s="145"/>
      <c r="AQ144" s="145"/>
      <c r="AR144" s="145"/>
      <c r="AS144" s="145"/>
      <c r="AT144" s="122"/>
      <c r="AU144" s="122"/>
      <c r="AV144" s="122"/>
      <c r="AW144" s="122"/>
      <c r="AX144" s="184">
        <f t="shared" si="50"/>
        <v>106477.35</v>
      </c>
      <c r="AY144" s="184">
        <f>AI144-50000</f>
        <v>106477.35</v>
      </c>
      <c r="AZ144" s="145"/>
      <c r="BA144" s="145"/>
      <c r="BB144" s="122">
        <f t="shared" si="51"/>
        <v>50000</v>
      </c>
      <c r="BC144" s="122"/>
    </row>
    <row r="145" spans="1:55" ht="42.6" customHeight="1" x14ac:dyDescent="0.2">
      <c r="A145" s="308" t="s">
        <v>391</v>
      </c>
      <c r="B145" s="259"/>
      <c r="C145" s="309">
        <v>341006</v>
      </c>
      <c r="D145" s="310"/>
      <c r="E145" s="303">
        <f>C5</f>
        <v>1801</v>
      </c>
      <c r="F145" s="58" t="s">
        <v>86</v>
      </c>
      <c r="G145" s="311">
        <v>11.232315364767317</v>
      </c>
      <c r="H145" s="58" t="s">
        <v>86</v>
      </c>
      <c r="I145" s="58">
        <v>1</v>
      </c>
      <c r="J145" s="58" t="s">
        <v>87</v>
      </c>
      <c r="K145" s="129">
        <f>ROUND(E145*G145*I145,1)</f>
        <v>20229.400000000001</v>
      </c>
      <c r="L145" s="312"/>
      <c r="M145" s="312"/>
      <c r="N145" s="312"/>
      <c r="O145" s="312"/>
      <c r="P145" s="313">
        <f>K145</f>
        <v>20229.400000000001</v>
      </c>
      <c r="Q145" s="153"/>
      <c r="X145" s="35">
        <v>119</v>
      </c>
      <c r="Y145" s="103" t="s">
        <v>178</v>
      </c>
      <c r="Z145" s="84" t="s">
        <v>175</v>
      </c>
      <c r="AA145" s="85"/>
      <c r="AB145" s="85" t="s">
        <v>166</v>
      </c>
      <c r="AC145" s="63" t="s">
        <v>90</v>
      </c>
      <c r="AD145" s="122" t="s">
        <v>90</v>
      </c>
      <c r="AE145" s="53" t="s">
        <v>89</v>
      </c>
      <c r="AF145" s="53" t="s">
        <v>89</v>
      </c>
      <c r="AG145" s="122" t="s">
        <v>90</v>
      </c>
      <c r="AH145" s="122" t="s">
        <v>90</v>
      </c>
      <c r="AI145" s="137">
        <f>P163+P162</f>
        <v>109389</v>
      </c>
      <c r="AJ145" s="63">
        <f t="shared" si="52"/>
        <v>109389</v>
      </c>
      <c r="AK145" s="80"/>
      <c r="AL145" s="269">
        <f t="shared" si="49"/>
        <v>109389</v>
      </c>
      <c r="AM145" s="269"/>
      <c r="AN145" s="122"/>
      <c r="AO145" s="64"/>
      <c r="AP145" s="80"/>
      <c r="AQ145" s="80"/>
      <c r="AR145" s="80"/>
      <c r="AS145" s="80"/>
      <c r="AT145" s="122"/>
      <c r="AU145" s="122"/>
      <c r="AV145" s="122"/>
      <c r="AW145" s="122"/>
      <c r="AX145" s="53">
        <f t="shared" si="50"/>
        <v>59389</v>
      </c>
      <c r="AY145" s="53">
        <f>AI145-50000</f>
        <v>59389</v>
      </c>
      <c r="AZ145" s="80"/>
      <c r="BA145" s="80"/>
      <c r="BB145" s="122">
        <f t="shared" si="51"/>
        <v>50000</v>
      </c>
      <c r="BC145" s="122"/>
    </row>
    <row r="146" spans="1:55" ht="32.450000000000003" customHeight="1" x14ac:dyDescent="0.25">
      <c r="A146" s="307" t="s">
        <v>392</v>
      </c>
      <c r="B146" s="314"/>
      <c r="C146" s="315"/>
      <c r="D146" s="314"/>
      <c r="E146" s="314"/>
      <c r="F146" s="314"/>
      <c r="G146" s="314"/>
      <c r="H146" s="314"/>
      <c r="I146" s="314"/>
      <c r="J146" s="314"/>
      <c r="K146" s="314"/>
      <c r="L146" s="314"/>
      <c r="M146" s="314"/>
      <c r="N146" s="314"/>
      <c r="O146" s="314"/>
      <c r="P146" s="316">
        <f>SUM(P147:P148)</f>
        <v>0</v>
      </c>
      <c r="Q146" s="153"/>
      <c r="X146" s="94">
        <v>120</v>
      </c>
      <c r="Y146" s="112" t="s">
        <v>154</v>
      </c>
      <c r="Z146" s="96"/>
      <c r="AA146" s="113"/>
      <c r="AB146" s="113"/>
      <c r="AC146" s="208" t="s">
        <v>90</v>
      </c>
      <c r="AD146" s="208" t="s">
        <v>90</v>
      </c>
      <c r="AE146" s="208" t="s">
        <v>89</v>
      </c>
      <c r="AF146" s="208" t="s">
        <v>89</v>
      </c>
      <c r="AG146" s="208" t="s">
        <v>90</v>
      </c>
      <c r="AH146" s="208" t="s">
        <v>90</v>
      </c>
      <c r="AI146" s="208"/>
      <c r="AJ146" s="208">
        <f>AJ147</f>
        <v>0</v>
      </c>
      <c r="AK146" s="80">
        <f t="shared" ref="AK146:BC146" si="53">AK147</f>
        <v>0</v>
      </c>
      <c r="AL146" s="208">
        <f t="shared" si="53"/>
        <v>0</v>
      </c>
      <c r="AM146" s="208"/>
      <c r="AN146" s="208">
        <f t="shared" si="53"/>
        <v>0</v>
      </c>
      <c r="AO146" s="64">
        <f t="shared" si="53"/>
        <v>0</v>
      </c>
      <c r="AP146" s="80">
        <f t="shared" si="53"/>
        <v>0</v>
      </c>
      <c r="AQ146" s="80"/>
      <c r="AR146" s="80"/>
      <c r="AS146" s="80">
        <f t="shared" si="53"/>
        <v>0</v>
      </c>
      <c r="AT146" s="209">
        <f t="shared" si="53"/>
        <v>0</v>
      </c>
      <c r="AU146" s="209">
        <f t="shared" si="53"/>
        <v>0</v>
      </c>
      <c r="AV146" s="209"/>
      <c r="AW146" s="209">
        <f t="shared" si="53"/>
        <v>0</v>
      </c>
      <c r="AX146" s="209">
        <f t="shared" si="53"/>
        <v>0</v>
      </c>
      <c r="AY146" s="209">
        <f t="shared" si="53"/>
        <v>0</v>
      </c>
      <c r="AZ146" s="80">
        <f t="shared" si="53"/>
        <v>0</v>
      </c>
      <c r="BA146" s="80">
        <f t="shared" si="53"/>
        <v>0</v>
      </c>
      <c r="BB146" s="209">
        <f t="shared" si="53"/>
        <v>0</v>
      </c>
      <c r="BC146" s="208">
        <f t="shared" si="53"/>
        <v>0</v>
      </c>
    </row>
    <row r="147" spans="1:55" ht="31.9" customHeight="1" x14ac:dyDescent="0.2">
      <c r="A147" s="308" t="s">
        <v>393</v>
      </c>
      <c r="B147" s="259"/>
      <c r="C147" s="309">
        <v>342005</v>
      </c>
      <c r="D147" s="310"/>
      <c r="E147" s="312"/>
      <c r="F147" s="312"/>
      <c r="G147" s="312"/>
      <c r="H147" s="312"/>
      <c r="I147" s="312"/>
      <c r="J147" s="312"/>
      <c r="K147" s="312"/>
      <c r="L147" s="312"/>
      <c r="M147" s="312"/>
      <c r="N147" s="312"/>
      <c r="O147" s="312"/>
      <c r="P147" s="317"/>
      <c r="Q147" s="153"/>
      <c r="X147" s="35">
        <v>121</v>
      </c>
      <c r="Y147" s="103" t="s">
        <v>157</v>
      </c>
      <c r="Z147" s="84" t="s">
        <v>158</v>
      </c>
      <c r="AA147" s="85"/>
      <c r="AB147" s="85" t="s">
        <v>159</v>
      </c>
      <c r="AC147" s="63" t="s">
        <v>90</v>
      </c>
      <c r="AD147" s="122" t="s">
        <v>90</v>
      </c>
      <c r="AE147" s="53" t="s">
        <v>89</v>
      </c>
      <c r="AF147" s="53" t="s">
        <v>89</v>
      </c>
      <c r="AG147" s="122" t="s">
        <v>90</v>
      </c>
      <c r="AH147" s="122" t="s">
        <v>90</v>
      </c>
      <c r="AI147" s="150"/>
      <c r="AJ147" s="63">
        <f>AK147+AL147+AN147</f>
        <v>0</v>
      </c>
      <c r="AK147" s="80"/>
      <c r="AL147" s="122">
        <f>AS147+AU147+AX147+BA147+BB147</f>
        <v>0</v>
      </c>
      <c r="AM147" s="122"/>
      <c r="AN147" s="122"/>
      <c r="AO147" s="64"/>
      <c r="AP147" s="80"/>
      <c r="AQ147" s="80"/>
      <c r="AR147" s="80"/>
      <c r="AS147" s="80"/>
      <c r="AT147" s="122"/>
      <c r="AU147" s="122"/>
      <c r="AV147" s="122"/>
      <c r="AW147" s="122"/>
      <c r="AX147" s="53">
        <f>AY147</f>
        <v>0</v>
      </c>
      <c r="AY147" s="53">
        <f>AI147</f>
        <v>0</v>
      </c>
      <c r="AZ147" s="80"/>
      <c r="BA147" s="80"/>
      <c r="BB147" s="122">
        <f>AI147-AX147</f>
        <v>0</v>
      </c>
      <c r="BC147" s="122"/>
    </row>
    <row r="148" spans="1:55" ht="16.899999999999999" customHeight="1" x14ac:dyDescent="0.2">
      <c r="A148" s="308" t="s">
        <v>394</v>
      </c>
      <c r="B148" s="259"/>
      <c r="C148" s="309">
        <v>342018</v>
      </c>
      <c r="D148" s="310"/>
      <c r="E148" s="312"/>
      <c r="F148" s="312"/>
      <c r="G148" s="312"/>
      <c r="H148" s="312"/>
      <c r="I148" s="312"/>
      <c r="J148" s="312"/>
      <c r="K148" s="312"/>
      <c r="L148" s="312"/>
      <c r="M148" s="312"/>
      <c r="N148" s="312"/>
      <c r="O148" s="312"/>
      <c r="P148" s="317"/>
      <c r="Q148" s="153"/>
      <c r="X148" s="94">
        <v>122</v>
      </c>
      <c r="Y148" s="112" t="s">
        <v>395</v>
      </c>
      <c r="Z148" s="206"/>
      <c r="AA148" s="207"/>
      <c r="AB148" s="207"/>
      <c r="AC148" s="208" t="s">
        <v>90</v>
      </c>
      <c r="AD148" s="208" t="s">
        <v>90</v>
      </c>
      <c r="AE148" s="208" t="s">
        <v>90</v>
      </c>
      <c r="AF148" s="208" t="s">
        <v>90</v>
      </c>
      <c r="AG148" s="208" t="s">
        <v>90</v>
      </c>
      <c r="AH148" s="208" t="s">
        <v>90</v>
      </c>
      <c r="AI148" s="208">
        <f>SUM(AI149:AI153)</f>
        <v>2199342</v>
      </c>
      <c r="AJ148" s="208">
        <f>AJ149+AJ150+AJ151+AJ152+AJ153</f>
        <v>2199342</v>
      </c>
      <c r="AK148" s="80">
        <f t="shared" ref="AK148:BC148" si="54">AK149+AK150+AK151+AK152+AK153</f>
        <v>0</v>
      </c>
      <c r="AL148" s="208">
        <f t="shared" si="54"/>
        <v>2199342</v>
      </c>
      <c r="AM148" s="208"/>
      <c r="AN148" s="278">
        <f t="shared" si="54"/>
        <v>0</v>
      </c>
      <c r="AO148" s="64">
        <f t="shared" si="54"/>
        <v>0</v>
      </c>
      <c r="AP148" s="80">
        <f t="shared" si="54"/>
        <v>0</v>
      </c>
      <c r="AQ148" s="80"/>
      <c r="AR148" s="80"/>
      <c r="AS148" s="80">
        <f t="shared" si="54"/>
        <v>0</v>
      </c>
      <c r="AT148" s="62">
        <f t="shared" si="54"/>
        <v>0</v>
      </c>
      <c r="AU148" s="208">
        <f t="shared" si="54"/>
        <v>0</v>
      </c>
      <c r="AV148" s="208"/>
      <c r="AW148" s="208">
        <f t="shared" si="54"/>
        <v>0</v>
      </c>
      <c r="AX148" s="208">
        <f t="shared" si="54"/>
        <v>0</v>
      </c>
      <c r="AY148" s="208">
        <f t="shared" si="54"/>
        <v>0</v>
      </c>
      <c r="AZ148" s="80">
        <f t="shared" si="54"/>
        <v>0</v>
      </c>
      <c r="BA148" s="80">
        <f t="shared" si="54"/>
        <v>0</v>
      </c>
      <c r="BB148" s="208">
        <f>BB149+BB150+BB151+BB152+BB153</f>
        <v>2199342</v>
      </c>
      <c r="BC148" s="208">
        <f t="shared" si="54"/>
        <v>0</v>
      </c>
    </row>
    <row r="149" spans="1:55" ht="31.9" customHeight="1" x14ac:dyDescent="0.25">
      <c r="A149" s="307" t="s">
        <v>396</v>
      </c>
      <c r="B149" s="314"/>
      <c r="C149" s="315"/>
      <c r="D149" s="314"/>
      <c r="E149" s="314"/>
      <c r="F149" s="314"/>
      <c r="G149" s="314"/>
      <c r="H149" s="314"/>
      <c r="I149" s="314"/>
      <c r="J149" s="314"/>
      <c r="K149" s="314"/>
      <c r="L149" s="314"/>
      <c r="M149" s="314"/>
      <c r="N149" s="314"/>
      <c r="O149" s="314"/>
      <c r="P149" s="316">
        <f>SUM(P150:P152)</f>
        <v>0</v>
      </c>
      <c r="Q149" s="153"/>
      <c r="X149" s="35">
        <v>123</v>
      </c>
      <c r="Y149" s="103" t="s">
        <v>350</v>
      </c>
      <c r="Z149" s="84">
        <v>290001</v>
      </c>
      <c r="AA149" s="85"/>
      <c r="AB149" s="85" t="s">
        <v>397</v>
      </c>
      <c r="AC149" s="63" t="s">
        <v>90</v>
      </c>
      <c r="AD149" s="122" t="s">
        <v>90</v>
      </c>
      <c r="AE149" s="122" t="s">
        <v>90</v>
      </c>
      <c r="AF149" s="122" t="s">
        <v>90</v>
      </c>
      <c r="AG149" s="122" t="s">
        <v>90</v>
      </c>
      <c r="AH149" s="122" t="s">
        <v>90</v>
      </c>
      <c r="AI149" s="150">
        <f>P129</f>
        <v>1329030</v>
      </c>
      <c r="AJ149" s="63">
        <f>AK149+AL149+AN149</f>
        <v>1329030</v>
      </c>
      <c r="AK149" s="80"/>
      <c r="AL149" s="122">
        <f>AS149+AU149+AX149+BA149+BB149</f>
        <v>1329030</v>
      </c>
      <c r="AM149" s="122"/>
      <c r="AN149" s="80"/>
      <c r="AO149" s="64"/>
      <c r="AP149" s="80"/>
      <c r="AQ149" s="80"/>
      <c r="AR149" s="80"/>
      <c r="AS149" s="80"/>
      <c r="AT149" s="64"/>
      <c r="AU149" s="122"/>
      <c r="AV149" s="122"/>
      <c r="AW149" s="122"/>
      <c r="AX149" s="53">
        <f>AY149</f>
        <v>0</v>
      </c>
      <c r="AY149" s="53"/>
      <c r="AZ149" s="80"/>
      <c r="BA149" s="80"/>
      <c r="BB149" s="122">
        <f>AI149</f>
        <v>1329030</v>
      </c>
      <c r="BC149" s="122"/>
    </row>
    <row r="150" spans="1:55" ht="17.45" customHeight="1" x14ac:dyDescent="0.2">
      <c r="A150" s="308" t="s">
        <v>369</v>
      </c>
      <c r="B150" s="259"/>
      <c r="C150" s="318" t="s">
        <v>398</v>
      </c>
      <c r="D150" s="310"/>
      <c r="E150" s="312"/>
      <c r="F150" s="312"/>
      <c r="G150" s="312"/>
      <c r="H150" s="312"/>
      <c r="I150" s="312"/>
      <c r="J150" s="312"/>
      <c r="K150" s="312"/>
      <c r="L150" s="312"/>
      <c r="M150" s="312"/>
      <c r="N150" s="312"/>
      <c r="O150" s="312"/>
      <c r="P150" s="319"/>
      <c r="Q150" s="153"/>
      <c r="X150" s="35">
        <v>124</v>
      </c>
      <c r="Y150" s="103" t="s">
        <v>361</v>
      </c>
      <c r="Z150" s="84" t="s">
        <v>362</v>
      </c>
      <c r="AA150" s="85"/>
      <c r="AB150" s="85" t="s">
        <v>397</v>
      </c>
      <c r="AC150" s="63" t="s">
        <v>90</v>
      </c>
      <c r="AD150" s="122" t="s">
        <v>90</v>
      </c>
      <c r="AE150" s="122" t="s">
        <v>90</v>
      </c>
      <c r="AF150" s="122" t="s">
        <v>90</v>
      </c>
      <c r="AG150" s="122" t="s">
        <v>90</v>
      </c>
      <c r="AH150" s="122" t="s">
        <v>90</v>
      </c>
      <c r="AI150" s="150"/>
      <c r="AJ150" s="170">
        <f>AK150+AL150+AN150</f>
        <v>0</v>
      </c>
      <c r="AK150" s="145"/>
      <c r="AL150" s="122">
        <f>AS150+AU150+AX150+BA150+BB150</f>
        <v>0</v>
      </c>
      <c r="AM150" s="122"/>
      <c r="AN150" s="145"/>
      <c r="AO150" s="213"/>
      <c r="AP150" s="145"/>
      <c r="AQ150" s="145"/>
      <c r="AR150" s="145"/>
      <c r="AS150" s="145"/>
      <c r="AT150" s="213"/>
      <c r="AU150" s="122"/>
      <c r="AV150" s="122"/>
      <c r="AW150" s="122"/>
      <c r="AX150" s="184">
        <f>AY150</f>
        <v>0</v>
      </c>
      <c r="AY150" s="184"/>
      <c r="AZ150" s="145"/>
      <c r="BA150" s="145"/>
      <c r="BB150" s="122">
        <f>AI150</f>
        <v>0</v>
      </c>
      <c r="BC150" s="122"/>
    </row>
    <row r="151" spans="1:55" ht="21" customHeight="1" x14ac:dyDescent="0.2">
      <c r="A151" s="308" t="s">
        <v>399</v>
      </c>
      <c r="B151" s="55"/>
      <c r="C151" s="318" t="s">
        <v>400</v>
      </c>
      <c r="D151" s="320"/>
      <c r="E151" s="102"/>
      <c r="F151" s="102"/>
      <c r="G151" s="102"/>
      <c r="H151" s="102"/>
      <c r="I151" s="102"/>
      <c r="J151" s="102"/>
      <c r="K151" s="102"/>
      <c r="L151" s="102"/>
      <c r="M151" s="102"/>
      <c r="N151" s="102"/>
      <c r="O151" s="102"/>
      <c r="P151" s="60"/>
      <c r="Q151" s="153"/>
      <c r="X151" s="35">
        <v>125</v>
      </c>
      <c r="Y151" s="103" t="s">
        <v>365</v>
      </c>
      <c r="Z151" s="84" t="s">
        <v>366</v>
      </c>
      <c r="AA151" s="85"/>
      <c r="AB151" s="85" t="s">
        <v>397</v>
      </c>
      <c r="AC151" s="63" t="s">
        <v>90</v>
      </c>
      <c r="AD151" s="122" t="s">
        <v>90</v>
      </c>
      <c r="AE151" s="122" t="s">
        <v>90</v>
      </c>
      <c r="AF151" s="122" t="s">
        <v>90</v>
      </c>
      <c r="AG151" s="122" t="s">
        <v>90</v>
      </c>
      <c r="AH151" s="122" t="s">
        <v>90</v>
      </c>
      <c r="AI151" s="150"/>
      <c r="AJ151" s="63">
        <f>AK151+AL151+AN151</f>
        <v>0</v>
      </c>
      <c r="AK151" s="80"/>
      <c r="AL151" s="122">
        <f>AS151+AU151+AX151+BA151+BB151</f>
        <v>0</v>
      </c>
      <c r="AM151" s="122"/>
      <c r="AN151" s="80"/>
      <c r="AO151" s="64"/>
      <c r="AP151" s="80"/>
      <c r="AQ151" s="80"/>
      <c r="AR151" s="80"/>
      <c r="AS151" s="80"/>
      <c r="AT151" s="64"/>
      <c r="AU151" s="122"/>
      <c r="AV151" s="122"/>
      <c r="AW151" s="122"/>
      <c r="AX151" s="53">
        <f>AY151</f>
        <v>0</v>
      </c>
      <c r="AY151" s="53"/>
      <c r="AZ151" s="80"/>
      <c r="BA151" s="80"/>
      <c r="BB151" s="122">
        <f>AI151</f>
        <v>0</v>
      </c>
      <c r="BC151" s="122"/>
    </row>
    <row r="152" spans="1:55" ht="19.899999999999999" customHeight="1" x14ac:dyDescent="0.2">
      <c r="A152" s="308" t="s">
        <v>373</v>
      </c>
      <c r="B152" s="55"/>
      <c r="C152" s="318" t="s">
        <v>401</v>
      </c>
      <c r="D152" s="320"/>
      <c r="E152" s="321">
        <f>C5</f>
        <v>1801</v>
      </c>
      <c r="F152" s="123" t="s">
        <v>86</v>
      </c>
      <c r="G152" s="123"/>
      <c r="H152" s="123" t="s">
        <v>86</v>
      </c>
      <c r="I152" s="123">
        <v>1</v>
      </c>
      <c r="J152" s="123" t="s">
        <v>87</v>
      </c>
      <c r="K152" s="322">
        <f>ROUND(E152*G152*I152,2)</f>
        <v>0</v>
      </c>
      <c r="L152" s="102"/>
      <c r="M152" s="102"/>
      <c r="N152" s="102"/>
      <c r="O152" s="102"/>
      <c r="P152" s="60">
        <f>K152</f>
        <v>0</v>
      </c>
      <c r="Q152" s="153"/>
      <c r="X152" s="35">
        <v>126</v>
      </c>
      <c r="Y152" s="103" t="s">
        <v>372</v>
      </c>
      <c r="Z152" s="323">
        <v>290014</v>
      </c>
      <c r="AA152" s="324"/>
      <c r="AB152" s="324">
        <v>291</v>
      </c>
      <c r="AC152" s="63" t="s">
        <v>90</v>
      </c>
      <c r="AD152" s="122" t="s">
        <v>90</v>
      </c>
      <c r="AE152" s="122" t="s">
        <v>90</v>
      </c>
      <c r="AF152" s="122" t="s">
        <v>90</v>
      </c>
      <c r="AG152" s="122" t="s">
        <v>90</v>
      </c>
      <c r="AH152" s="122" t="s">
        <v>90</v>
      </c>
      <c r="AI152" s="150">
        <f>P135</f>
        <v>870312</v>
      </c>
      <c r="AJ152" s="63">
        <f>AK152+AL152+AN152</f>
        <v>870312</v>
      </c>
      <c r="AK152" s="80"/>
      <c r="AL152" s="122">
        <f>AS152+AU152+AX152+BA152+BB152</f>
        <v>870312</v>
      </c>
      <c r="AM152" s="122"/>
      <c r="AN152" s="80"/>
      <c r="AO152" s="64"/>
      <c r="AP152" s="80"/>
      <c r="AQ152" s="80"/>
      <c r="AR152" s="80"/>
      <c r="AS152" s="80"/>
      <c r="AT152" s="64"/>
      <c r="AU152" s="122"/>
      <c r="AV152" s="122"/>
      <c r="AW152" s="122"/>
      <c r="AX152" s="53">
        <f>AY152</f>
        <v>0</v>
      </c>
      <c r="AY152" s="53"/>
      <c r="AZ152" s="80"/>
      <c r="BA152" s="80"/>
      <c r="BB152" s="122">
        <f>AI152</f>
        <v>870312</v>
      </c>
      <c r="BC152" s="122"/>
    </row>
    <row r="153" spans="1:55" ht="27.6" customHeight="1" x14ac:dyDescent="0.25">
      <c r="A153" s="325" t="s">
        <v>402</v>
      </c>
      <c r="B153" s="314"/>
      <c r="C153" s="315"/>
      <c r="D153" s="314"/>
      <c r="E153" s="314"/>
      <c r="F153" s="314"/>
      <c r="G153" s="314"/>
      <c r="H153" s="314"/>
      <c r="I153" s="314"/>
      <c r="J153" s="314"/>
      <c r="K153" s="314"/>
      <c r="L153" s="314"/>
      <c r="M153" s="314"/>
      <c r="N153" s="314"/>
      <c r="O153" s="314"/>
      <c r="P153" s="316">
        <f>SUM(P154)</f>
        <v>0</v>
      </c>
      <c r="Q153" s="153"/>
      <c r="X153" s="35">
        <v>127</v>
      </c>
      <c r="Y153" s="103" t="s">
        <v>375</v>
      </c>
      <c r="Z153" s="323">
        <v>290015</v>
      </c>
      <c r="AA153" s="324"/>
      <c r="AB153" s="324">
        <v>291</v>
      </c>
      <c r="AC153" s="63" t="s">
        <v>90</v>
      </c>
      <c r="AD153" s="122" t="s">
        <v>90</v>
      </c>
      <c r="AE153" s="122" t="s">
        <v>90</v>
      </c>
      <c r="AF153" s="122" t="s">
        <v>90</v>
      </c>
      <c r="AG153" s="122" t="s">
        <v>90</v>
      </c>
      <c r="AH153" s="122" t="s">
        <v>90</v>
      </c>
      <c r="AI153" s="150">
        <f>P136</f>
        <v>0</v>
      </c>
      <c r="AJ153" s="63">
        <f>AK153+AL153+AN153</f>
        <v>0</v>
      </c>
      <c r="AK153" s="80"/>
      <c r="AL153" s="122">
        <f>AS153+AU153+AX153+BA153+BB153</f>
        <v>0</v>
      </c>
      <c r="AM153" s="122"/>
      <c r="AN153" s="80"/>
      <c r="AO153" s="64"/>
      <c r="AP153" s="80"/>
      <c r="AQ153" s="80"/>
      <c r="AR153" s="80"/>
      <c r="AS153" s="80"/>
      <c r="AT153" s="64"/>
      <c r="AU153" s="122"/>
      <c r="AV153" s="122"/>
      <c r="AW153" s="122"/>
      <c r="AX153" s="53">
        <f>AY153</f>
        <v>0</v>
      </c>
      <c r="AY153" s="53"/>
      <c r="AZ153" s="80"/>
      <c r="BA153" s="80"/>
      <c r="BB153" s="122">
        <f>AI153</f>
        <v>0</v>
      </c>
      <c r="BC153" s="122"/>
    </row>
    <row r="154" spans="1:55" ht="35.450000000000003" customHeight="1" x14ac:dyDescent="0.2">
      <c r="A154" s="326" t="s">
        <v>403</v>
      </c>
      <c r="B154" s="55"/>
      <c r="C154" s="327" t="s">
        <v>404</v>
      </c>
      <c r="D154" s="320"/>
      <c r="E154" s="102"/>
      <c r="F154" s="102"/>
      <c r="G154" s="102"/>
      <c r="H154" s="102"/>
      <c r="I154" s="102"/>
      <c r="J154" s="102"/>
      <c r="K154" s="102"/>
      <c r="L154" s="102"/>
      <c r="M154" s="102"/>
      <c r="N154" s="102"/>
      <c r="O154" s="102"/>
      <c r="P154" s="140"/>
      <c r="Q154" s="153"/>
      <c r="X154" s="35">
        <v>128</v>
      </c>
      <c r="Y154" s="61" t="s">
        <v>405</v>
      </c>
      <c r="Z154" s="328"/>
      <c r="AA154" s="328"/>
      <c r="AB154" s="328"/>
      <c r="AC154" s="329" t="s">
        <v>90</v>
      </c>
      <c r="AD154" s="329" t="s">
        <v>90</v>
      </c>
      <c r="AE154" s="329" t="s">
        <v>90</v>
      </c>
      <c r="AF154" s="329" t="s">
        <v>90</v>
      </c>
      <c r="AG154" s="329" t="s">
        <v>90</v>
      </c>
      <c r="AH154" s="329" t="s">
        <v>90</v>
      </c>
      <c r="AI154" s="329" t="e">
        <f>AI20</f>
        <v>#REF!</v>
      </c>
      <c r="AJ154" s="329" t="e">
        <f t="shared" ref="AJ154:BC154" si="55">AJ20</f>
        <v>#REF!</v>
      </c>
      <c r="AK154" s="329">
        <f t="shared" si="55"/>
        <v>67600089.680000007</v>
      </c>
      <c r="AL154" s="329" t="e">
        <f t="shared" si="55"/>
        <v>#REF!</v>
      </c>
      <c r="AM154" s="329"/>
      <c r="AN154" s="329"/>
      <c r="AO154" s="329"/>
      <c r="AP154" s="329">
        <f t="shared" si="55"/>
        <v>65917177.68</v>
      </c>
      <c r="AQ154" s="329"/>
      <c r="AR154" s="329"/>
      <c r="AS154" s="329">
        <f t="shared" si="55"/>
        <v>0</v>
      </c>
      <c r="AT154" s="329" t="e">
        <f t="shared" si="55"/>
        <v>#REF!</v>
      </c>
      <c r="AU154" s="329" t="e">
        <f t="shared" si="55"/>
        <v>#REF!</v>
      </c>
      <c r="AV154" s="329"/>
      <c r="AW154" s="329">
        <f t="shared" si="55"/>
        <v>0</v>
      </c>
      <c r="AX154" s="329">
        <f t="shared" si="55"/>
        <v>14248144.76</v>
      </c>
      <c r="AY154" s="329">
        <f t="shared" si="55"/>
        <v>14248144.76</v>
      </c>
      <c r="AZ154" s="329">
        <f t="shared" si="55"/>
        <v>0</v>
      </c>
      <c r="BA154" s="329">
        <f t="shared" si="55"/>
        <v>4481952.45</v>
      </c>
      <c r="BB154" s="329">
        <f t="shared" si="55"/>
        <v>2377342</v>
      </c>
      <c r="BC154" s="329">
        <f t="shared" si="55"/>
        <v>0</v>
      </c>
    </row>
    <row r="155" spans="1:55" ht="35.450000000000003" customHeight="1" x14ac:dyDescent="0.25">
      <c r="A155" s="325" t="s">
        <v>162</v>
      </c>
      <c r="B155" s="314"/>
      <c r="C155" s="315"/>
      <c r="D155" s="314"/>
      <c r="E155" s="314"/>
      <c r="F155" s="314"/>
      <c r="G155" s="314"/>
      <c r="H155" s="314"/>
      <c r="I155" s="314"/>
      <c r="J155" s="314"/>
      <c r="K155" s="314"/>
      <c r="L155" s="314"/>
      <c r="M155" s="314"/>
      <c r="N155" s="314"/>
      <c r="O155" s="314"/>
      <c r="P155" s="330">
        <f>SUM(P156:P165)</f>
        <v>357212.38</v>
      </c>
      <c r="Q155" s="153"/>
      <c r="X155" s="35">
        <v>129</v>
      </c>
      <c r="Y155" s="331" t="s">
        <v>406</v>
      </c>
      <c r="Z155" s="328"/>
      <c r="AA155" s="328"/>
      <c r="AB155" s="328"/>
      <c r="AC155" s="329" t="s">
        <v>90</v>
      </c>
      <c r="AD155" s="329" t="s">
        <v>90</v>
      </c>
      <c r="AE155" s="329" t="s">
        <v>90</v>
      </c>
      <c r="AF155" s="329" t="s">
        <v>90</v>
      </c>
      <c r="AG155" s="329" t="s">
        <v>90</v>
      </c>
      <c r="AH155" s="329" t="s">
        <v>90</v>
      </c>
      <c r="AI155" s="329" t="e">
        <f>AI154-AI46+AI47</f>
        <v>#REF!</v>
      </c>
      <c r="AJ155" s="329" t="e">
        <f>AJ154-AJ46+AJ47</f>
        <v>#REF!</v>
      </c>
      <c r="AK155" s="329">
        <f>AK154-AK46+AK47</f>
        <v>61980363.81000001</v>
      </c>
      <c r="AL155" s="329" t="e">
        <f>AL154-AL46+AL47</f>
        <v>#REF!</v>
      </c>
      <c r="AM155" s="329"/>
      <c r="AN155" s="329" t="s">
        <v>90</v>
      </c>
      <c r="AO155" s="328" t="s">
        <v>90</v>
      </c>
      <c r="AP155" s="329">
        <f>AP154-AP46+AP47</f>
        <v>60297451.810000002</v>
      </c>
      <c r="AQ155" s="329"/>
      <c r="AR155" s="329"/>
      <c r="AS155" s="329">
        <v>0</v>
      </c>
      <c r="AT155" s="329" t="s">
        <v>90</v>
      </c>
      <c r="AU155" s="329" t="s">
        <v>90</v>
      </c>
      <c r="AV155" s="329"/>
      <c r="AW155" s="329" t="s">
        <v>90</v>
      </c>
      <c r="AX155" s="329">
        <f>AX154-AX46+AX47</f>
        <v>14248144.76</v>
      </c>
      <c r="AY155" s="329">
        <f>AY154-AY46+AY47</f>
        <v>14248144.76</v>
      </c>
      <c r="AZ155" s="329" t="s">
        <v>90</v>
      </c>
      <c r="BA155" s="329" t="s">
        <v>90</v>
      </c>
      <c r="BB155" s="329">
        <f>BB154-BB46+BB47</f>
        <v>2377342</v>
      </c>
      <c r="BC155" s="328"/>
    </row>
    <row r="156" spans="1:55" ht="21.6" customHeight="1" x14ac:dyDescent="0.25">
      <c r="A156" s="332" t="s">
        <v>407</v>
      </c>
      <c r="B156" s="333"/>
      <c r="C156" s="318" t="s">
        <v>408</v>
      </c>
      <c r="D156" s="334"/>
      <c r="E156" s="333"/>
      <c r="F156" s="335"/>
      <c r="G156" s="333"/>
      <c r="H156" s="334"/>
      <c r="I156" s="333"/>
      <c r="J156" s="333"/>
      <c r="K156" s="333"/>
      <c r="L156" s="333"/>
      <c r="M156" s="333"/>
      <c r="N156" s="333"/>
      <c r="O156" s="333"/>
      <c r="P156" s="336"/>
      <c r="Q156" s="153"/>
      <c r="X156" s="35">
        <v>130</v>
      </c>
      <c r="Y156" s="331" t="s">
        <v>409</v>
      </c>
      <c r="Z156" s="328"/>
      <c r="AA156" s="328"/>
      <c r="AB156" s="328"/>
      <c r="AC156" s="329" t="s">
        <v>90</v>
      </c>
      <c r="AD156" s="329" t="s">
        <v>90</v>
      </c>
      <c r="AE156" s="329" t="s">
        <v>90</v>
      </c>
      <c r="AF156" s="329" t="s">
        <v>90</v>
      </c>
      <c r="AG156" s="329" t="s">
        <v>90</v>
      </c>
      <c r="AH156" s="329" t="s">
        <v>90</v>
      </c>
      <c r="AI156" s="329" t="e">
        <f>AI154-AI155</f>
        <v>#REF!</v>
      </c>
      <c r="AJ156" s="329" t="e">
        <f>AJ154-AJ155</f>
        <v>#REF!</v>
      </c>
      <c r="AK156" s="329">
        <f>AK154-AK155</f>
        <v>5619725.8699999973</v>
      </c>
      <c r="AL156" s="329"/>
      <c r="AM156" s="329"/>
      <c r="AN156" s="329" t="s">
        <v>90</v>
      </c>
      <c r="AO156" s="328" t="s">
        <v>90</v>
      </c>
      <c r="AP156" s="329">
        <f>AP154-AP155</f>
        <v>5619725.8699999973</v>
      </c>
      <c r="AQ156" s="329"/>
      <c r="AR156" s="329"/>
      <c r="AS156" s="329">
        <f>AS154-AS155</f>
        <v>0</v>
      </c>
      <c r="AT156" s="329" t="s">
        <v>90</v>
      </c>
      <c r="AU156" s="329" t="s">
        <v>90</v>
      </c>
      <c r="AV156" s="329"/>
      <c r="AW156" s="329" t="s">
        <v>90</v>
      </c>
      <c r="AX156" s="329" t="s">
        <v>90</v>
      </c>
      <c r="AY156" s="329" t="s">
        <v>90</v>
      </c>
      <c r="AZ156" s="329" t="s">
        <v>90</v>
      </c>
      <c r="BA156" s="329" t="s">
        <v>90</v>
      </c>
      <c r="BB156" s="329" t="s">
        <v>90</v>
      </c>
      <c r="BC156" s="328"/>
    </row>
    <row r="157" spans="1:55" ht="35.450000000000003" customHeight="1" x14ac:dyDescent="0.25">
      <c r="A157" s="337" t="s">
        <v>410</v>
      </c>
      <c r="B157" s="333"/>
      <c r="C157" s="318" t="s">
        <v>411</v>
      </c>
      <c r="D157" s="334"/>
      <c r="E157" s="333"/>
      <c r="F157" s="335"/>
      <c r="G157" s="333"/>
      <c r="H157" s="334"/>
      <c r="I157" s="333"/>
      <c r="J157" s="333"/>
      <c r="K157" s="333"/>
      <c r="L157" s="333"/>
      <c r="M157" s="333"/>
      <c r="N157" s="333"/>
      <c r="O157" s="333"/>
      <c r="P157" s="333"/>
      <c r="Q157" s="153"/>
      <c r="Y157" s="338"/>
      <c r="Z157" s="339"/>
      <c r="AA157" s="339"/>
      <c r="AB157" s="339"/>
      <c r="AC157" s="339"/>
      <c r="AD157" s="339"/>
      <c r="AE157" s="339"/>
      <c r="AF157" s="339"/>
      <c r="AG157" s="339"/>
      <c r="AH157" s="339"/>
      <c r="AI157" s="339"/>
      <c r="AJ157" s="339"/>
      <c r="AK157" s="339" t="s">
        <v>412</v>
      </c>
      <c r="AL157" s="339" t="s">
        <v>413</v>
      </c>
      <c r="AM157" s="339"/>
      <c r="AN157" s="339"/>
      <c r="AO157" s="339"/>
      <c r="AP157" s="339"/>
      <c r="AQ157" s="339"/>
      <c r="AR157" s="339"/>
      <c r="AS157" s="339"/>
      <c r="AT157" s="339"/>
      <c r="AU157" s="339"/>
      <c r="AV157" s="339"/>
      <c r="AW157" s="339"/>
      <c r="AX157" s="339"/>
      <c r="AY157" s="339"/>
      <c r="AZ157" s="339"/>
      <c r="BA157" s="339"/>
      <c r="BB157" s="339"/>
    </row>
    <row r="158" spans="1:55" ht="26.25" customHeight="1" x14ac:dyDescent="0.25">
      <c r="A158" s="308" t="s">
        <v>383</v>
      </c>
      <c r="B158" s="333"/>
      <c r="C158" s="318" t="s">
        <v>414</v>
      </c>
      <c r="D158" s="334"/>
      <c r="E158" s="333"/>
      <c r="F158" s="335"/>
      <c r="G158" s="333"/>
      <c r="H158" s="334"/>
      <c r="I158" s="333"/>
      <c r="J158" s="333"/>
      <c r="K158" s="333"/>
      <c r="L158" s="333"/>
      <c r="M158" s="333"/>
      <c r="N158" s="333"/>
      <c r="O158" s="333"/>
      <c r="P158" s="333"/>
      <c r="Q158" s="153"/>
      <c r="Y158" s="338"/>
      <c r="Z158" s="339"/>
      <c r="AA158" s="339"/>
      <c r="AB158" s="339"/>
      <c r="AC158" s="339"/>
      <c r="AD158" s="339"/>
      <c r="AE158" s="339"/>
      <c r="AF158" s="339"/>
      <c r="AG158" s="339"/>
      <c r="AH158" s="339"/>
      <c r="AI158" s="363" t="s">
        <v>415</v>
      </c>
      <c r="AJ158" s="363"/>
      <c r="AK158" s="340">
        <v>0</v>
      </c>
      <c r="AL158" s="340">
        <v>0</v>
      </c>
      <c r="AM158" s="340"/>
      <c r="AN158" s="340"/>
      <c r="AO158" s="339"/>
      <c r="AP158" s="339"/>
      <c r="AQ158" s="339"/>
      <c r="AR158" s="339"/>
      <c r="AS158" s="339"/>
      <c r="AT158" s="339"/>
      <c r="AU158" s="339"/>
      <c r="AV158" s="339"/>
      <c r="AW158" s="339"/>
      <c r="AX158" s="339"/>
      <c r="AY158" s="339"/>
      <c r="AZ158" s="339"/>
      <c r="BA158" s="339"/>
      <c r="BB158" s="339"/>
    </row>
    <row r="159" spans="1:55" ht="30" customHeight="1" x14ac:dyDescent="0.25">
      <c r="A159" s="308" t="s">
        <v>387</v>
      </c>
      <c r="B159" s="333"/>
      <c r="C159" s="318" t="s">
        <v>416</v>
      </c>
      <c r="D159" s="334"/>
      <c r="E159" s="333"/>
      <c r="F159" s="335"/>
      <c r="G159" s="333"/>
      <c r="H159" s="334"/>
      <c r="I159" s="333"/>
      <c r="J159" s="333"/>
      <c r="K159" s="333"/>
      <c r="L159" s="333"/>
      <c r="M159" s="333"/>
      <c r="N159" s="333"/>
      <c r="O159" s="341"/>
      <c r="P159" s="333"/>
      <c r="Q159" s="153"/>
      <c r="Y159" s="342"/>
      <c r="Z159" s="339"/>
      <c r="AA159" s="339"/>
      <c r="AB159" s="339"/>
      <c r="AC159" s="339"/>
      <c r="AD159" s="339"/>
      <c r="AE159" s="339"/>
      <c r="AF159" s="339"/>
      <c r="AG159" s="339"/>
      <c r="AH159" s="339"/>
      <c r="AI159" s="363" t="s">
        <v>417</v>
      </c>
      <c r="AJ159" s="363"/>
      <c r="AK159" s="340"/>
      <c r="AL159" s="340"/>
      <c r="AM159" s="340"/>
      <c r="AN159" s="339"/>
      <c r="AO159" s="339"/>
      <c r="AP159" s="339"/>
      <c r="AQ159" s="339"/>
      <c r="AR159" s="339"/>
      <c r="AS159" s="339"/>
      <c r="AT159" s="343"/>
      <c r="AU159" s="339"/>
      <c r="AV159" s="339"/>
      <c r="AW159" s="339"/>
      <c r="AX159" s="339"/>
      <c r="AY159" s="339"/>
      <c r="AZ159" s="339"/>
      <c r="BA159" s="339"/>
      <c r="BB159" s="339"/>
    </row>
    <row r="160" spans="1:55" ht="27.75" customHeight="1" x14ac:dyDescent="0.25">
      <c r="A160" s="308" t="s">
        <v>418</v>
      </c>
      <c r="B160" s="333"/>
      <c r="C160" s="318" t="s">
        <v>419</v>
      </c>
      <c r="D160" s="334"/>
      <c r="E160" s="333"/>
      <c r="F160" s="335"/>
      <c r="G160" s="333"/>
      <c r="H160" s="334"/>
      <c r="I160" s="333"/>
      <c r="J160" s="333"/>
      <c r="K160" s="333"/>
      <c r="L160" s="333"/>
      <c r="M160" s="333"/>
      <c r="N160" s="333"/>
      <c r="O160" s="333"/>
      <c r="P160" s="344"/>
      <c r="Q160" s="153"/>
      <c r="Y160" s="342"/>
      <c r="Z160" s="339"/>
      <c r="AA160" s="339"/>
      <c r="AB160" s="339"/>
      <c r="AC160" s="339"/>
      <c r="AD160" s="339"/>
      <c r="AE160" s="339"/>
      <c r="AF160" s="339"/>
      <c r="AG160" s="339"/>
      <c r="AH160" s="339"/>
      <c r="AI160" s="339" t="s">
        <v>420</v>
      </c>
      <c r="AJ160" s="339"/>
      <c r="AK160" s="340">
        <v>0</v>
      </c>
      <c r="AL160" s="340">
        <v>0</v>
      </c>
      <c r="AM160" s="340"/>
      <c r="AN160" s="339"/>
      <c r="AO160" s="339"/>
      <c r="AP160" s="339"/>
      <c r="AQ160" s="339"/>
      <c r="AR160" s="339"/>
      <c r="AS160" s="339"/>
      <c r="AT160" s="343"/>
      <c r="AU160" s="339"/>
      <c r="AV160" s="339"/>
      <c r="AW160" s="339"/>
      <c r="AX160" s="340"/>
      <c r="AY160" s="340"/>
      <c r="AZ160" s="339"/>
      <c r="BA160" s="339"/>
      <c r="BB160" s="339"/>
    </row>
    <row r="161" spans="1:55" ht="37.5" customHeight="1" x14ac:dyDescent="0.25">
      <c r="A161" s="332" t="s">
        <v>421</v>
      </c>
      <c r="B161" s="333"/>
      <c r="C161" s="318" t="s">
        <v>419</v>
      </c>
      <c r="D161" s="334"/>
      <c r="E161" s="296">
        <f>C5</f>
        <v>1801</v>
      </c>
      <c r="F161" s="59" t="s">
        <v>86</v>
      </c>
      <c r="G161" s="345">
        <v>93.643743664567666</v>
      </c>
      <c r="H161" s="346" t="s">
        <v>86</v>
      </c>
      <c r="I161" s="58">
        <v>1</v>
      </c>
      <c r="J161" s="58" t="s">
        <v>87</v>
      </c>
      <c r="K161" s="219">
        <f>ROUND(E161*G161*I161,2)</f>
        <v>168652.38</v>
      </c>
      <c r="L161" s="102"/>
      <c r="M161" s="102"/>
      <c r="N161" s="102"/>
      <c r="O161" s="102"/>
      <c r="P161" s="220">
        <f>K161</f>
        <v>168652.38</v>
      </c>
      <c r="Q161" s="153"/>
      <c r="Y161" s="342"/>
      <c r="Z161" s="339"/>
      <c r="AA161" s="339"/>
      <c r="AB161" s="339"/>
      <c r="AC161" s="339"/>
      <c r="AD161" s="339"/>
      <c r="AE161" s="339"/>
      <c r="AF161" s="339"/>
      <c r="AG161" s="339"/>
      <c r="AH161" s="339"/>
      <c r="AI161" s="339" t="s">
        <v>422</v>
      </c>
      <c r="AJ161" s="339"/>
      <c r="AK161" s="340"/>
      <c r="AL161" s="340"/>
      <c r="AM161" s="340"/>
      <c r="AN161" s="339"/>
      <c r="AO161" s="339"/>
      <c r="AP161" s="339"/>
      <c r="AQ161" s="339"/>
      <c r="AR161" s="339"/>
      <c r="AS161" s="339"/>
      <c r="AT161" s="364"/>
      <c r="AU161" s="364"/>
      <c r="AV161" s="343"/>
      <c r="AW161" s="339"/>
      <c r="AX161" s="340"/>
      <c r="AY161" s="340"/>
      <c r="AZ161" s="340"/>
      <c r="BA161" s="339"/>
      <c r="BB161" s="339"/>
    </row>
    <row r="162" spans="1:55" ht="30" customHeight="1" x14ac:dyDescent="0.25">
      <c r="A162" s="332" t="s">
        <v>423</v>
      </c>
      <c r="B162" s="55"/>
      <c r="C162" s="318" t="s">
        <v>424</v>
      </c>
      <c r="D162" s="320"/>
      <c r="E162" s="129"/>
      <c r="F162" s="59"/>
      <c r="G162" s="345"/>
      <c r="H162" s="346"/>
      <c r="I162" s="58"/>
      <c r="J162" s="58"/>
      <c r="K162" s="219"/>
      <c r="L162" s="102"/>
      <c r="M162" s="102"/>
      <c r="N162" s="102"/>
      <c r="O162" s="102"/>
      <c r="P162" s="127">
        <v>2948</v>
      </c>
      <c r="Q162" s="153" t="s">
        <v>425</v>
      </c>
      <c r="Y162" s="342"/>
      <c r="Z162" s="339"/>
      <c r="AA162" s="339"/>
      <c r="AB162" s="339"/>
      <c r="AC162" s="339"/>
      <c r="AD162" s="339"/>
      <c r="AE162" s="339"/>
      <c r="AF162" s="339"/>
      <c r="AG162" s="339"/>
      <c r="AH162" s="339"/>
      <c r="AI162" s="339"/>
      <c r="AJ162" s="339"/>
      <c r="AK162" s="339"/>
      <c r="AL162" s="339"/>
      <c r="AM162" s="339"/>
      <c r="AN162" s="339"/>
      <c r="AO162" s="339"/>
      <c r="AP162" s="339"/>
      <c r="AQ162" s="339"/>
      <c r="AR162" s="339"/>
      <c r="AS162" s="339"/>
      <c r="AT162" s="347"/>
      <c r="AU162" s="347"/>
      <c r="AV162" s="347"/>
      <c r="AW162" s="339"/>
      <c r="AX162" s="340"/>
      <c r="AY162" s="340"/>
      <c r="AZ162" s="340"/>
      <c r="BA162" s="339"/>
      <c r="BB162" s="339"/>
    </row>
    <row r="163" spans="1:55" ht="30" customHeight="1" x14ac:dyDescent="0.25">
      <c r="A163" s="332" t="s">
        <v>423</v>
      </c>
      <c r="B163" s="55"/>
      <c r="C163" s="318" t="s">
        <v>424</v>
      </c>
      <c r="D163" s="320"/>
      <c r="E163" s="129">
        <f>C5</f>
        <v>1801</v>
      </c>
      <c r="F163" s="59" t="s">
        <v>86</v>
      </c>
      <c r="G163" s="345">
        <v>75.174350000000004</v>
      </c>
      <c r="H163" s="346" t="s">
        <v>86</v>
      </c>
      <c r="I163" s="58">
        <v>1</v>
      </c>
      <c r="J163" s="58" t="s">
        <v>87</v>
      </c>
      <c r="K163" s="219">
        <f>ROUND(E163*G163*I163,0)</f>
        <v>135389</v>
      </c>
      <c r="L163" s="102"/>
      <c r="M163" s="102"/>
      <c r="N163" s="102"/>
      <c r="O163" s="102"/>
      <c r="P163" s="220">
        <f>K163-P162-P164</f>
        <v>106441</v>
      </c>
      <c r="Q163" s="153"/>
      <c r="Y163" s="342"/>
      <c r="Z163" s="339"/>
      <c r="AA163" s="339"/>
      <c r="AB163" s="339"/>
      <c r="AC163" s="339"/>
      <c r="AD163" s="339"/>
      <c r="AE163" s="339"/>
      <c r="AF163" s="339"/>
      <c r="AG163" s="339"/>
      <c r="AH163" s="339"/>
      <c r="AI163" s="339"/>
      <c r="AJ163" s="339"/>
      <c r="AK163" s="339"/>
      <c r="AL163" s="339"/>
      <c r="AM163" s="339"/>
      <c r="AN163" s="339"/>
      <c r="AO163" s="339"/>
      <c r="AP163" s="339"/>
      <c r="AQ163" s="339"/>
      <c r="AR163" s="339"/>
      <c r="AS163" s="339"/>
      <c r="AT163" s="347"/>
      <c r="AU163" s="347"/>
      <c r="AV163" s="347"/>
      <c r="AW163" s="339"/>
      <c r="AX163" s="340"/>
      <c r="AY163" s="340"/>
      <c r="AZ163" s="340"/>
      <c r="BA163" s="339"/>
      <c r="BB163" s="339"/>
    </row>
    <row r="164" spans="1:55" ht="30" customHeight="1" x14ac:dyDescent="0.25">
      <c r="A164" s="332" t="s">
        <v>423</v>
      </c>
      <c r="B164" s="55"/>
      <c r="C164" s="318" t="s">
        <v>426</v>
      </c>
      <c r="D164" s="320"/>
      <c r="E164" s="129"/>
      <c r="F164" s="59"/>
      <c r="G164" s="345"/>
      <c r="H164" s="346"/>
      <c r="I164" s="58"/>
      <c r="J164" s="58"/>
      <c r="K164" s="219"/>
      <c r="L164" s="102"/>
      <c r="M164" s="102"/>
      <c r="N164" s="102"/>
      <c r="O164" s="102"/>
      <c r="P164" s="220">
        <v>26000</v>
      </c>
      <c r="Q164" s="153"/>
      <c r="Y164" s="342"/>
      <c r="Z164" s="339"/>
      <c r="AA164" s="339"/>
      <c r="AB164" s="339"/>
      <c r="AC164" s="339"/>
      <c r="AD164" s="339"/>
      <c r="AE164" s="339"/>
      <c r="AF164" s="339"/>
      <c r="AG164" s="339"/>
      <c r="AH164" s="339"/>
      <c r="AI164" s="339"/>
      <c r="AJ164" s="339"/>
      <c r="AK164" s="339"/>
      <c r="AL164" s="339"/>
      <c r="AM164" s="339"/>
      <c r="AN164" s="339"/>
      <c r="AO164" s="339"/>
      <c r="AP164" s="339"/>
      <c r="AQ164" s="339"/>
      <c r="AR164" s="339"/>
      <c r="AS164" s="339"/>
      <c r="AT164" s="347"/>
      <c r="AU164" s="347"/>
      <c r="AV164" s="347"/>
      <c r="AW164" s="339"/>
      <c r="AX164" s="340"/>
      <c r="AY164" s="340"/>
      <c r="AZ164" s="340"/>
      <c r="BA164" s="339"/>
      <c r="BB164" s="339"/>
    </row>
    <row r="165" spans="1:55" ht="30" customHeight="1" x14ac:dyDescent="0.25">
      <c r="A165" s="332" t="s">
        <v>363</v>
      </c>
      <c r="B165" s="55"/>
      <c r="C165" s="318" t="s">
        <v>364</v>
      </c>
      <c r="D165" s="320"/>
      <c r="E165" s="296">
        <f>C5</f>
        <v>1801</v>
      </c>
      <c r="F165" s="59" t="s">
        <v>86</v>
      </c>
      <c r="G165" s="226">
        <v>29.523044847181694</v>
      </c>
      <c r="H165" s="346" t="s">
        <v>86</v>
      </c>
      <c r="I165" s="58">
        <v>1</v>
      </c>
      <c r="J165" s="58" t="s">
        <v>87</v>
      </c>
      <c r="K165" s="219">
        <f>ROUND(E165*G165*I165,0)</f>
        <v>53171</v>
      </c>
      <c r="L165" s="102"/>
      <c r="M165" s="102"/>
      <c r="N165" s="102"/>
      <c r="O165" s="102"/>
      <c r="P165" s="220">
        <f>K165</f>
        <v>53171</v>
      </c>
      <c r="Q165" s="153"/>
      <c r="Y165" s="342"/>
      <c r="Z165" s="339"/>
      <c r="AA165" s="339"/>
      <c r="AB165" s="339"/>
      <c r="AC165" s="339"/>
      <c r="AD165" s="339"/>
      <c r="AE165" s="339"/>
      <c r="AF165" s="339"/>
      <c r="AG165" s="339"/>
      <c r="AH165" s="339"/>
      <c r="AI165" s="339"/>
      <c r="AJ165" s="339"/>
      <c r="AK165" s="339"/>
      <c r="AL165" s="339"/>
      <c r="AM165" s="339"/>
      <c r="AN165" s="339"/>
      <c r="AO165" s="339"/>
      <c r="AP165" s="339"/>
      <c r="AQ165" s="339"/>
      <c r="AR165" s="339"/>
      <c r="AS165" s="339"/>
      <c r="AT165" s="347"/>
      <c r="AU165" s="347"/>
      <c r="AV165" s="347"/>
      <c r="AW165" s="339"/>
      <c r="AX165" s="340"/>
      <c r="AY165" s="340"/>
      <c r="AZ165" s="340"/>
      <c r="BA165" s="339"/>
      <c r="BB165" s="339"/>
    </row>
    <row r="166" spans="1:55" ht="40.15" hidden="1" customHeight="1" x14ac:dyDescent="0.25">
      <c r="A166" s="307" t="s">
        <v>427</v>
      </c>
      <c r="B166" s="314"/>
      <c r="C166" s="348"/>
      <c r="D166" s="314"/>
      <c r="E166" s="314"/>
      <c r="F166" s="314"/>
      <c r="G166" s="314"/>
      <c r="H166" s="314"/>
      <c r="I166" s="314"/>
      <c r="J166" s="314"/>
      <c r="K166" s="314"/>
      <c r="L166" s="314"/>
      <c r="M166" s="314"/>
      <c r="N166" s="314"/>
      <c r="O166" s="314"/>
      <c r="P166" s="316">
        <f>SUM(P167:P168)</f>
        <v>0</v>
      </c>
      <c r="Q166" s="153"/>
      <c r="Y166" s="342"/>
      <c r="Z166" s="339"/>
      <c r="AA166" s="339"/>
      <c r="AB166" s="339"/>
      <c r="AC166" s="339"/>
      <c r="AD166" s="339"/>
      <c r="AE166" s="339"/>
      <c r="AF166" s="339"/>
      <c r="AG166" s="339"/>
      <c r="AH166" s="339"/>
      <c r="AI166" s="340"/>
      <c r="AJ166" s="339"/>
      <c r="AK166" s="339"/>
      <c r="AL166" s="339"/>
      <c r="AM166" s="339"/>
      <c r="AN166" s="339"/>
      <c r="AO166" s="339"/>
      <c r="AP166" s="339"/>
      <c r="AQ166" s="339"/>
      <c r="AR166" s="339"/>
      <c r="AS166" s="339"/>
      <c r="AT166" s="347"/>
      <c r="AU166" s="347"/>
      <c r="AV166" s="347"/>
      <c r="AW166" s="339"/>
      <c r="AX166" s="340"/>
      <c r="AY166" s="340"/>
      <c r="AZ166" s="364"/>
      <c r="BA166" s="364"/>
      <c r="BB166" s="339"/>
    </row>
    <row r="167" spans="1:55" ht="42.6" hidden="1" customHeight="1" x14ac:dyDescent="0.2">
      <c r="A167" s="349" t="s">
        <v>428</v>
      </c>
      <c r="B167" s="55"/>
      <c r="C167" s="350">
        <v>349011</v>
      </c>
      <c r="D167" s="320"/>
      <c r="E167" s="102"/>
      <c r="F167" s="102"/>
      <c r="G167" s="102"/>
      <c r="H167" s="102"/>
      <c r="I167" s="102"/>
      <c r="J167" s="102"/>
      <c r="K167" s="102"/>
      <c r="L167" s="102"/>
      <c r="M167" s="102"/>
      <c r="N167" s="102"/>
      <c r="O167" s="102"/>
      <c r="P167" s="140"/>
      <c r="Q167" s="153"/>
      <c r="Y167" s="342"/>
      <c r="Z167" s="339"/>
      <c r="AA167" s="339"/>
      <c r="AB167" s="339"/>
      <c r="AC167" s="339"/>
      <c r="AD167" s="339"/>
      <c r="AE167" s="339"/>
      <c r="AF167" s="340"/>
      <c r="AG167" s="340"/>
      <c r="AH167" s="340"/>
      <c r="AI167" s="340"/>
      <c r="AJ167" s="340"/>
      <c r="AK167" s="339"/>
      <c r="AL167" s="339"/>
      <c r="AM167" s="339"/>
      <c r="AN167" s="339"/>
      <c r="AO167" s="339"/>
      <c r="AP167" s="339"/>
      <c r="AQ167" s="339"/>
      <c r="AR167" s="339"/>
      <c r="AS167" s="339"/>
      <c r="AT167" s="347"/>
      <c r="AU167" s="347"/>
      <c r="AV167" s="347"/>
      <c r="AW167" s="339"/>
      <c r="AX167" s="340"/>
      <c r="AY167" s="340"/>
      <c r="AZ167" s="364"/>
      <c r="BA167" s="364"/>
      <c r="BB167" s="339"/>
    </row>
    <row r="168" spans="1:55" ht="36.6" hidden="1" customHeight="1" x14ac:dyDescent="0.2">
      <c r="A168" s="349" t="s">
        <v>429</v>
      </c>
      <c r="B168" s="55"/>
      <c r="C168" s="350">
        <v>349099</v>
      </c>
      <c r="D168" s="320"/>
      <c r="E168" s="102"/>
      <c r="F168" s="102"/>
      <c r="G168" s="102"/>
      <c r="H168" s="102"/>
      <c r="I168" s="102"/>
      <c r="J168" s="102"/>
      <c r="K168" s="102"/>
      <c r="L168" s="102"/>
      <c r="M168" s="102"/>
      <c r="N168" s="102"/>
      <c r="O168" s="102"/>
      <c r="P168" s="140"/>
      <c r="Q168" s="153"/>
    </row>
    <row r="169" spans="1:55" ht="70.150000000000006" hidden="1" customHeight="1" x14ac:dyDescent="0.25">
      <c r="A169" s="314" t="s">
        <v>430</v>
      </c>
      <c r="B169" s="314"/>
      <c r="C169" s="348"/>
      <c r="D169" s="314"/>
      <c r="E169" s="314"/>
      <c r="F169" s="314"/>
      <c r="G169" s="314"/>
      <c r="H169" s="314"/>
      <c r="I169" s="314"/>
      <c r="J169" s="314"/>
      <c r="K169" s="314"/>
      <c r="L169" s="314"/>
      <c r="M169" s="314"/>
      <c r="N169" s="314"/>
      <c r="O169" s="314"/>
      <c r="P169" s="351">
        <f>P170</f>
        <v>0</v>
      </c>
      <c r="Q169" s="153"/>
      <c r="X169" s="352"/>
      <c r="Y169" s="352"/>
      <c r="Z169" s="352"/>
      <c r="AA169" s="352"/>
      <c r="AB169" s="352"/>
      <c r="AC169" s="352"/>
      <c r="AD169" s="352"/>
      <c r="AE169" s="352"/>
      <c r="AF169" s="352"/>
      <c r="AG169" s="352"/>
      <c r="AH169" s="352"/>
      <c r="AI169" s="352"/>
      <c r="AJ169" s="352"/>
      <c r="AK169" s="352"/>
      <c r="AL169" s="352"/>
      <c r="AM169" s="352"/>
      <c r="AN169" s="352"/>
      <c r="AO169" s="352"/>
      <c r="AP169" s="352"/>
      <c r="AQ169" s="352"/>
      <c r="AR169" s="352"/>
      <c r="AS169" s="352"/>
      <c r="AT169" s="352"/>
      <c r="AU169" s="352"/>
      <c r="AV169" s="352"/>
      <c r="AW169" s="352"/>
      <c r="AX169" s="352"/>
      <c r="AY169" s="352"/>
      <c r="AZ169" s="352"/>
      <c r="BA169" s="352"/>
      <c r="BB169" s="352"/>
      <c r="BC169" s="352"/>
    </row>
    <row r="170" spans="1:55" ht="30" hidden="1" customHeight="1" x14ac:dyDescent="0.2">
      <c r="A170" s="349" t="s">
        <v>431</v>
      </c>
      <c r="B170" s="55"/>
      <c r="C170" s="353" t="s">
        <v>432</v>
      </c>
      <c r="D170" s="320"/>
      <c r="E170" s="296"/>
      <c r="F170" s="58" t="s">
        <v>86</v>
      </c>
      <c r="G170" s="58"/>
      <c r="H170" s="58" t="s">
        <v>86</v>
      </c>
      <c r="I170" s="58"/>
      <c r="J170" s="58" t="s">
        <v>87</v>
      </c>
      <c r="K170" s="219">
        <f>ROUND(E170*G170*I170,2)</f>
        <v>0</v>
      </c>
      <c r="L170" s="102"/>
      <c r="M170" s="102"/>
      <c r="N170" s="102"/>
      <c r="O170" s="102"/>
      <c r="P170" s="140"/>
      <c r="Q170" s="153"/>
    </row>
    <row r="171" spans="1:55" ht="59.45" hidden="1" customHeight="1" x14ac:dyDescent="0.25">
      <c r="A171" s="314" t="s">
        <v>433</v>
      </c>
      <c r="B171" s="314"/>
      <c r="C171" s="348"/>
      <c r="D171" s="314"/>
      <c r="E171" s="314"/>
      <c r="F171" s="314"/>
      <c r="G171" s="314"/>
      <c r="H171" s="314"/>
      <c r="I171" s="314"/>
      <c r="J171" s="314"/>
      <c r="K171" s="314"/>
      <c r="L171" s="314"/>
      <c r="M171" s="314"/>
      <c r="N171" s="314"/>
      <c r="O171" s="314"/>
      <c r="P171" s="351">
        <f>SUM(P172:P173)</f>
        <v>0</v>
      </c>
      <c r="Q171" s="153"/>
    </row>
    <row r="172" spans="1:55" ht="32.450000000000003" hidden="1" customHeight="1" x14ac:dyDescent="0.2">
      <c r="A172" s="349" t="s">
        <v>434</v>
      </c>
      <c r="B172" s="55"/>
      <c r="C172" s="350">
        <v>353001</v>
      </c>
      <c r="D172" s="354"/>
      <c r="E172" s="355"/>
      <c r="F172" s="272" t="s">
        <v>86</v>
      </c>
      <c r="G172" s="272"/>
      <c r="H172" s="272" t="s">
        <v>86</v>
      </c>
      <c r="I172" s="272"/>
      <c r="J172" s="272" t="s">
        <v>87</v>
      </c>
      <c r="K172" s="219">
        <f>ROUND(E172*G172*I172,0)</f>
        <v>0</v>
      </c>
      <c r="L172" s="102"/>
      <c r="M172" s="102"/>
      <c r="N172" s="102"/>
      <c r="O172" s="102"/>
      <c r="P172" s="140"/>
      <c r="Q172" s="153"/>
    </row>
    <row r="173" spans="1:55" ht="35.450000000000003" hidden="1" customHeight="1" x14ac:dyDescent="0.2">
      <c r="A173" s="349" t="s">
        <v>431</v>
      </c>
      <c r="B173" s="55"/>
      <c r="C173" s="350">
        <v>353099</v>
      </c>
      <c r="D173" s="271"/>
      <c r="E173" s="355"/>
      <c r="F173" s="272" t="s">
        <v>86</v>
      </c>
      <c r="G173" s="272"/>
      <c r="H173" s="272" t="s">
        <v>86</v>
      </c>
      <c r="I173" s="272"/>
      <c r="J173" s="272" t="s">
        <v>87</v>
      </c>
      <c r="K173" s="356">
        <f>ROUND(E173*G173*I173,0)</f>
        <v>0</v>
      </c>
      <c r="L173" s="274"/>
      <c r="M173" s="274"/>
      <c r="N173" s="274"/>
      <c r="O173" s="274"/>
      <c r="P173" s="357"/>
      <c r="Q173" s="153"/>
    </row>
    <row r="174" spans="1:55" ht="33.75" customHeight="1" x14ac:dyDescent="0.2">
      <c r="A174" s="358" t="s">
        <v>435</v>
      </c>
      <c r="B174" s="359"/>
      <c r="C174" s="360"/>
      <c r="D174" s="359"/>
      <c r="E174" s="358"/>
      <c r="F174" s="359"/>
      <c r="G174" s="359"/>
      <c r="H174" s="359"/>
      <c r="I174" s="359"/>
      <c r="J174" s="359"/>
      <c r="K174" s="359"/>
      <c r="L174" s="359"/>
      <c r="M174" s="359"/>
      <c r="N174" s="359"/>
      <c r="O174" s="359"/>
      <c r="P174" s="361">
        <f>P16+P25+P128+P138+P125</f>
        <v>9380233.8100000024</v>
      </c>
    </row>
    <row r="175" spans="1:55" x14ac:dyDescent="0.2">
      <c r="P175" s="362"/>
    </row>
    <row r="176" spans="1:55" x14ac:dyDescent="0.2">
      <c r="P176" s="153"/>
    </row>
  </sheetData>
  <mergeCells count="58">
    <mergeCell ref="C1:C3"/>
    <mergeCell ref="Z1:AK1"/>
    <mergeCell ref="Z2:AJ2"/>
    <mergeCell ref="E4:L4"/>
    <mergeCell ref="Z4:AA4"/>
    <mergeCell ref="AB4:AJ4"/>
    <mergeCell ref="E5:L5"/>
    <mergeCell ref="E6:L6"/>
    <mergeCell ref="E7:L7"/>
    <mergeCell ref="X10:X13"/>
    <mergeCell ref="Y10:Y13"/>
    <mergeCell ref="C13:P13"/>
    <mergeCell ref="BC10:BC13"/>
    <mergeCell ref="AC11:AC13"/>
    <mergeCell ref="AD11:AD13"/>
    <mergeCell ref="AE11:AG11"/>
    <mergeCell ref="AK11:AK13"/>
    <mergeCell ref="AL11:AL13"/>
    <mergeCell ref="AM11:AM13"/>
    <mergeCell ref="AC10:AD10"/>
    <mergeCell ref="AE10:AF10"/>
    <mergeCell ref="AH10:AH13"/>
    <mergeCell ref="AI10:AI13"/>
    <mergeCell ref="BB11:BB13"/>
    <mergeCell ref="AE12:AE13"/>
    <mergeCell ref="AF12:AF13"/>
    <mergeCell ref="AG12:AG13"/>
    <mergeCell ref="AP12:AP13"/>
    <mergeCell ref="AQ12:AQ13"/>
    <mergeCell ref="AR12:AR13"/>
    <mergeCell ref="AS12:AS13"/>
    <mergeCell ref="AN11:AN13"/>
    <mergeCell ref="AO11:AO13"/>
    <mergeCell ref="AP11:AS11"/>
    <mergeCell ref="AT11:AT13"/>
    <mergeCell ref="AU11:AW11"/>
    <mergeCell ref="AX11:AX13"/>
    <mergeCell ref="AU12:AU13"/>
    <mergeCell ref="AV12:AV13"/>
    <mergeCell ref="A27:A30"/>
    <mergeCell ref="C27:C30"/>
    <mergeCell ref="P27:P30"/>
    <mergeCell ref="AY11:AZ12"/>
    <mergeCell ref="BA11:BA13"/>
    <mergeCell ref="AW12:AW13"/>
    <mergeCell ref="AJ10:AJ13"/>
    <mergeCell ref="AK10:AN10"/>
    <mergeCell ref="AO10:BB10"/>
    <mergeCell ref="AA10:AA13"/>
    <mergeCell ref="AB10:AB13"/>
    <mergeCell ref="Z10:Z13"/>
    <mergeCell ref="AI158:AJ158"/>
    <mergeCell ref="AI159:AJ159"/>
    <mergeCell ref="AT161:AU161"/>
    <mergeCell ref="AZ166:BA167"/>
    <mergeCell ref="B14:B15"/>
    <mergeCell ref="C14:C15"/>
    <mergeCell ref="E14:O15"/>
  </mergeCells>
  <pageMargins left="0" right="0" top="0.19685039370078741" bottom="0.19685039370078741" header="0.51181102362204722" footer="0.51181102362204722"/>
  <pageSetup paperSize="9" scale="65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8</vt:lpstr>
      <vt:lpstr>'8'!Заголовки_для_печати</vt:lpstr>
      <vt:lpstr>'8'!Область_печати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DIR</cp:lastModifiedBy>
  <dcterms:created xsi:type="dcterms:W3CDTF">2023-01-26T10:21:48Z</dcterms:created>
  <dcterms:modified xsi:type="dcterms:W3CDTF">2023-05-24T12:55:55Z</dcterms:modified>
</cp:coreProperties>
</file>